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Bray, George\BRAY 2025 Analysis of UK repository platforms\Files\"/>
    </mc:Choice>
  </mc:AlternateContent>
  <xr:revisionPtr revIDLastSave="0" documentId="13_ncr:1_{DA03F3F8-7DDC-4F66-97F7-287A29F2DB12}" xr6:coauthVersionLast="47" xr6:coauthVersionMax="47" xr10:uidLastSave="{00000000-0000-0000-0000-000000000000}"/>
  <bookViews>
    <workbookView xWindow="38280" yWindow="-120" windowWidth="38640" windowHeight="21390" xr2:uid="{00000000-000D-0000-FFFF-FFFF00000000}"/>
  </bookViews>
  <sheets>
    <sheet name="README" sheetId="5" r:id="rId1"/>
    <sheet name="RAW UKCORR DATA" sheetId="1" r:id="rId2"/>
    <sheet name="REVISED DATA" sheetId="4" r:id="rId3"/>
    <sheet name="ONLY UNI AND NON-DATA" sheetId="7" r:id="rId4"/>
    <sheet name="ANALYSIS" sheetId="6" r:id="rId5"/>
    <sheet name="VISUALISATIONS" sheetId="8" r:id="rId6"/>
  </sheets>
  <definedNames>
    <definedName name="_xlnm._FilterDatabase" localSheetId="1" hidden="1">'RAW UKCORR DATA'!$A$1:$J$136</definedName>
    <definedName name="Z_F81B1DFC_F50A_4F64_941C_3C588FA83BF7_.wvu.FilterData" localSheetId="1" hidden="1">'RAW UKCORR DATA'!#REF!</definedName>
  </definedNames>
  <calcPr calcId="191028"/>
  <customWorkbookViews>
    <customWorkbookView name="Filter 1" guid="{F81B1DFC-F50A-4F64-941C-3C588FA83BF7}" maximized="1" windowWidth="0" windowHeight="0" activeSheetId="0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7" i="6" l="1"/>
  <c r="D97" i="6"/>
  <c r="E97" i="6"/>
  <c r="F97" i="6"/>
  <c r="G97" i="6"/>
  <c r="H97" i="6"/>
  <c r="I97" i="6"/>
  <c r="J97" i="6"/>
  <c r="K97" i="6"/>
  <c r="L97" i="6"/>
  <c r="M97" i="6"/>
  <c r="B97" i="6"/>
  <c r="K76" i="6"/>
  <c r="L76" i="6"/>
  <c r="M76" i="6"/>
  <c r="J76" i="6"/>
  <c r="C76" i="6"/>
  <c r="D76" i="6"/>
  <c r="E76" i="6"/>
  <c r="F76" i="6"/>
  <c r="G76" i="6"/>
  <c r="B76" i="6"/>
  <c r="K55" i="6"/>
  <c r="L55" i="6"/>
  <c r="J55" i="6"/>
  <c r="C55" i="6"/>
  <c r="D55" i="6"/>
  <c r="E55" i="6"/>
  <c r="F55" i="6"/>
  <c r="G55" i="6"/>
  <c r="B55" i="6"/>
  <c r="B2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C96" i="6"/>
  <c r="D96" i="6"/>
  <c r="E96" i="6"/>
  <c r="F96" i="6"/>
  <c r="G96" i="6"/>
  <c r="H96" i="6"/>
  <c r="I96" i="6"/>
  <c r="J96" i="6"/>
  <c r="K96" i="6"/>
  <c r="L96" i="6"/>
  <c r="M96" i="6"/>
  <c r="B96" i="6"/>
  <c r="C94" i="6"/>
  <c r="D94" i="6"/>
  <c r="E94" i="6"/>
  <c r="F94" i="6"/>
  <c r="G94" i="6"/>
  <c r="H94" i="6"/>
  <c r="I94" i="6"/>
  <c r="J94" i="6"/>
  <c r="K94" i="6"/>
  <c r="L94" i="6"/>
  <c r="M94" i="6"/>
  <c r="B94" i="6"/>
  <c r="K75" i="6"/>
  <c r="L75" i="6"/>
  <c r="M75" i="6"/>
  <c r="J75" i="6"/>
  <c r="K73" i="6"/>
  <c r="L73" i="6"/>
  <c r="M73" i="6"/>
  <c r="J73" i="6"/>
  <c r="C75" i="6"/>
  <c r="D75" i="6"/>
  <c r="E75" i="6"/>
  <c r="F75" i="6"/>
  <c r="G75" i="6"/>
  <c r="B75" i="6"/>
  <c r="C73" i="6"/>
  <c r="D73" i="6"/>
  <c r="E73" i="6"/>
  <c r="F73" i="6"/>
  <c r="G73" i="6"/>
  <c r="B73" i="6"/>
  <c r="K54" i="6"/>
  <c r="L54" i="6"/>
  <c r="J54" i="6"/>
  <c r="K52" i="6"/>
  <c r="L52" i="6"/>
  <c r="J52" i="6"/>
  <c r="C54" i="6"/>
  <c r="D54" i="6"/>
  <c r="E54" i="6"/>
  <c r="F54" i="6"/>
  <c r="G54" i="6"/>
  <c r="B54" i="6"/>
  <c r="C52" i="6"/>
  <c r="D52" i="6"/>
  <c r="E52" i="6"/>
  <c r="F52" i="6"/>
  <c r="G52" i="6"/>
  <c r="B52" i="6"/>
  <c r="B26" i="6"/>
  <c r="B27" i="6"/>
  <c r="B28" i="6"/>
  <c r="B29" i="6"/>
  <c r="C18" i="6"/>
  <c r="L4" i="6"/>
  <c r="L5" i="6"/>
  <c r="K4" i="6"/>
  <c r="K5" i="6"/>
  <c r="B4" i="6"/>
  <c r="B5" i="6"/>
  <c r="D5" i="6" s="1"/>
  <c r="B6" i="6"/>
  <c r="D6" i="6" s="1"/>
  <c r="B7" i="6"/>
  <c r="D7" i="6" s="1"/>
  <c r="B8" i="6"/>
  <c r="D8" i="6" s="1"/>
  <c r="B9" i="6"/>
  <c r="D9" i="6" s="1"/>
  <c r="B10" i="6"/>
  <c r="D10" i="6" s="1"/>
  <c r="B11" i="6"/>
  <c r="D11" i="6" s="1"/>
  <c r="B13" i="6"/>
  <c r="D13" i="6" s="1"/>
  <c r="B14" i="6"/>
  <c r="D14" i="6" s="1"/>
  <c r="B12" i="6"/>
  <c r="D12" i="6" s="1"/>
  <c r="B15" i="6"/>
  <c r="D15" i="6" s="1"/>
  <c r="B16" i="6"/>
  <c r="D16" i="6" s="1"/>
  <c r="F9" i="1"/>
  <c r="D4" i="6" l="1"/>
  <c r="D18" i="6" s="1"/>
  <c r="B18" i="6"/>
</calcChain>
</file>

<file path=xl/sharedStrings.xml><?xml version="1.0" encoding="utf-8"?>
<sst xmlns="http://schemas.openxmlformats.org/spreadsheetml/2006/main" count="3449" uniqueCount="682">
  <si>
    <t>Institution Name</t>
  </si>
  <si>
    <t>Repository software</t>
  </si>
  <si>
    <t>URL</t>
  </si>
  <si>
    <t>CRIS</t>
  </si>
  <si>
    <t>Research data repository</t>
  </si>
  <si>
    <t>Last updated / checked</t>
  </si>
  <si>
    <t>Notes</t>
  </si>
  <si>
    <t>Rights Retention Policy Date</t>
  </si>
  <si>
    <t>RR Policy URL</t>
  </si>
  <si>
    <t>Abertay University</t>
  </si>
  <si>
    <t>Pure</t>
  </si>
  <si>
    <t>https://rke.abertay.ac.uk</t>
  </si>
  <si>
    <t>Aberystwyth University</t>
  </si>
  <si>
    <t>https://research.aber.ac.uk/portal/</t>
  </si>
  <si>
    <t>https://research.aber.ac.uk</t>
  </si>
  <si>
    <t>AECC University College</t>
  </si>
  <si>
    <t>EPrints</t>
  </si>
  <si>
    <t>14/02/19</t>
  </si>
  <si>
    <t>Anglia Ruskin University</t>
  </si>
  <si>
    <t>http://arro.anglia.ac.uk</t>
  </si>
  <si>
    <t>Symplectic Elements</t>
  </si>
  <si>
    <t>Figshare</t>
  </si>
  <si>
    <t>http://aru.figshare.com/</t>
  </si>
  <si>
    <t>26/07/2022</t>
  </si>
  <si>
    <t>Currently considering move to a combined output/data repository possibly in Figshare.</t>
  </si>
  <si>
    <t>Association for Learning Technology</t>
  </si>
  <si>
    <t>http://repository.alt.ac.uk/</t>
  </si>
  <si>
    <t>Aston University Birmingham</t>
  </si>
  <si>
    <t>http://eprints.aston.ac.uk/</t>
  </si>
  <si>
    <t>PURE</t>
  </si>
  <si>
    <t>http://researchdata.aston.ac.uk/</t>
  </si>
  <si>
    <t>Bangor University</t>
  </si>
  <si>
    <t>DSpace</t>
  </si>
  <si>
    <t>http://research.bangor.ac.uk/</t>
  </si>
  <si>
    <t>Bath Spa University</t>
  </si>
  <si>
    <t>http://researchspace.bathspa.ac.uk/</t>
  </si>
  <si>
    <t>we are developing our own internal CRIS . We also use Figshare for research data https://bathspa.figshare.com/</t>
  </si>
  <si>
    <t>Birkbeck</t>
  </si>
  <si>
    <t>http://eprints.bbk.ac.uk/</t>
  </si>
  <si>
    <t>2022-xx-xx</t>
  </si>
  <si>
    <t>https://www.bbk.ac.uk/about-us/policies/open-access-research</t>
  </si>
  <si>
    <t>Bournemouth University</t>
  </si>
  <si>
    <t>http://eprints.bournemouth.ac.uk/</t>
  </si>
  <si>
    <t>https://bordar.bournemouth.ac.uk/</t>
  </si>
  <si>
    <t>30/05/19</t>
  </si>
  <si>
    <t>Separate eprints data repository https://bordar.bournemouth.ac.uk/</t>
  </si>
  <si>
    <t>British Antarctic Survey</t>
  </si>
  <si>
    <t>http://nora.nerc.ac.uk/</t>
  </si>
  <si>
    <t>British Geological Survery</t>
  </si>
  <si>
    <t>British Geological Survey</t>
  </si>
  <si>
    <t>British Library</t>
  </si>
  <si>
    <t>This is a shared repository hosting the content for BL, Tate, British Museum, National Museums of Scotland and Museum of London Archaeology (MOLA). Will be launching in 2019.</t>
  </si>
  <si>
    <t>Brunel University London</t>
  </si>
  <si>
    <t>http://bura.brunel.ac.uk/</t>
  </si>
  <si>
    <t>https://brunel.figshare.com</t>
  </si>
  <si>
    <t>EPrints was listed as the IR in a copy error - corrected 26/07/22. DSpace has been exclusively used since the repository was established in 2006-7.</t>
  </si>
  <si>
    <t>Canterbury Christ Church</t>
  </si>
  <si>
    <t>Haplo/Cayuse</t>
  </si>
  <si>
    <t>http://repository.canterbury.ac.uk/</t>
  </si>
  <si>
    <t>Cardiff Metropolitan University</t>
  </si>
  <si>
    <t>https://figshare.cardiffmet.ac.uk/</t>
  </si>
  <si>
    <t>Pure (implementing)</t>
  </si>
  <si>
    <t>16/06/2023</t>
  </si>
  <si>
    <t>Cardiff University</t>
  </si>
  <si>
    <t>http://orca.cf.ac.uk/</t>
  </si>
  <si>
    <t>Converis</t>
  </si>
  <si>
    <t>City, University of London</t>
  </si>
  <si>
    <t>http://openaccess.city.ac.uk/</t>
  </si>
  <si>
    <t>https://city.figshare.com/</t>
  </si>
  <si>
    <t>ePrints also used for theses, Figshare used for data</t>
  </si>
  <si>
    <t>Coventry University</t>
  </si>
  <si>
    <t>https://pureportal.coventry.ac.uk/</t>
  </si>
  <si>
    <t>13/11/2024</t>
  </si>
  <si>
    <t>Theses formerly on legacy system (Curve which runs on Equella). Now transferred to Pure</t>
  </si>
  <si>
    <t>Cranfield University</t>
  </si>
  <si>
    <t>https://dspace.lib.cranfield.ac.uk/</t>
  </si>
  <si>
    <t>https://dspace.lib.cranfield.ac.uk/handle/1826/20712</t>
  </si>
  <si>
    <t>26/06/2024</t>
  </si>
  <si>
    <t>De Montfort University</t>
  </si>
  <si>
    <t>https://www.dora.dmu.ac.uk/</t>
  </si>
  <si>
    <t>Durham University</t>
  </si>
  <si>
    <t>Worktribe</t>
  </si>
  <si>
    <t>https://durham-repository.worktribe.com/</t>
  </si>
  <si>
    <t>Sufia/Samvera</t>
  </si>
  <si>
    <t>https://collections.durham.ac.uk/</t>
  </si>
  <si>
    <r>
      <rPr>
        <sz val="11"/>
        <color rgb="FF000000"/>
        <rFont val="Calibri, sans-serif"/>
      </rPr>
      <t xml:space="preserve">Publications repository transitioning to Worktribe repository w/c 07/08/2023, from eprints repository which will remain tempoarily available at </t>
    </r>
    <r>
      <rPr>
        <u/>
        <sz val="11"/>
        <color rgb="FF1155CC"/>
        <rFont val="Calibri, sans-serif"/>
      </rPr>
      <t>dro.dur.ac.uk</t>
    </r>
  </si>
  <si>
    <t>https://www.durham.ac.uk/research/ethics--governance/research-publications-policy/</t>
  </si>
  <si>
    <t>Edge Hill University</t>
  </si>
  <si>
    <t>http://research.edgehill.ac.uk/</t>
  </si>
  <si>
    <t>https://figshare.edgehill.ac.uk/</t>
  </si>
  <si>
    <t>17/02/2020</t>
  </si>
  <si>
    <t>Falmouth University</t>
  </si>
  <si>
    <t>https://repository.falmouth.ac.uk</t>
  </si>
  <si>
    <t>Francis Crick Institute</t>
  </si>
  <si>
    <t>https://crick.figshare.com/</t>
  </si>
  <si>
    <t>Repository is currently for papers, but will be expanding to include data too.</t>
  </si>
  <si>
    <t>Glasgow Caledonian University</t>
  </si>
  <si>
    <t>http://researchonline.gcu.ac.uk/portal/</t>
  </si>
  <si>
    <t>Glasgow School of Art</t>
  </si>
  <si>
    <t>http://radar.gsa.ac.uk/</t>
  </si>
  <si>
    <t>Goldsmiths, University of London</t>
  </si>
  <si>
    <t>http://research.gold.ac.uk/</t>
  </si>
  <si>
    <t>Harper Adams University</t>
  </si>
  <si>
    <t>https://hau.collections.crest.ac.uk/</t>
  </si>
  <si>
    <t>Heriot-Watt University</t>
  </si>
  <si>
    <t>http://www.ros.hw.ac.uk/</t>
  </si>
  <si>
    <t>DSpace - separate Theses Repository. Pure CRIS/IR.</t>
  </si>
  <si>
    <t>Hull</t>
  </si>
  <si>
    <t>https://hull-repository.worktribe.com/</t>
  </si>
  <si>
    <t>Fedora</t>
  </si>
  <si>
    <t>https://hydra.hull.ac.uk</t>
  </si>
  <si>
    <t>Hydra also used for theses and non-text research outputs</t>
  </si>
  <si>
    <t>Imperial College London</t>
  </si>
  <si>
    <t>http://spiral.imperial.ac.uk/</t>
  </si>
  <si>
    <t>Institute of Cancer Research</t>
  </si>
  <si>
    <t>https://repository.icr.ac.uk/</t>
  </si>
  <si>
    <t>Institute of Development Studies</t>
  </si>
  <si>
    <t>Haplo</t>
  </si>
  <si>
    <t>https://opendocs.ids.ac.uk/opendocs/</t>
  </si>
  <si>
    <t>Keele University</t>
  </si>
  <si>
    <t>http://eprints.keele.ac.uk</t>
  </si>
  <si>
    <t>https://researchdata.keele.ac.uk</t>
  </si>
  <si>
    <t>28/05/2019</t>
  </si>
  <si>
    <t>King's College London</t>
  </si>
  <si>
    <t>https://kclpure.kcl.ac.uk/portal/</t>
  </si>
  <si>
    <t>https://kcl.figshare.com/</t>
  </si>
  <si>
    <t>23/05/2022</t>
  </si>
  <si>
    <t>https://www.kcl.ac.uk/researchsupport/open-access/rights-retention-strategy</t>
  </si>
  <si>
    <t>Kingston University</t>
  </si>
  <si>
    <t>http://eprints.kingston.ac.uk/</t>
  </si>
  <si>
    <t>Lancaster University</t>
  </si>
  <si>
    <t>http://eprints.lancaster.ac.uk/</t>
  </si>
  <si>
    <t>PURE Research directory</t>
  </si>
  <si>
    <t>http://www.research.lancs.ac.uk/portal/</t>
  </si>
  <si>
    <t>Pure feeds e-prints and is long term storage. Pure used as data repository</t>
  </si>
  <si>
    <t>https://portal.lancaster.ac.uk/ask/study/library/open-research/research-publications-and-rights-retention-policy/</t>
  </si>
  <si>
    <t>Leeds Arts University</t>
  </si>
  <si>
    <t>Hyku</t>
  </si>
  <si>
    <t>https://lau.collections.crest.ac.uk/</t>
  </si>
  <si>
    <t>Leeds Beckett</t>
  </si>
  <si>
    <t>http://eprints.leedsbeckett.ac.uk/</t>
  </si>
  <si>
    <t>https://figshare.leedsbeckett.ac.uk/</t>
  </si>
  <si>
    <t>14/10/2022</t>
  </si>
  <si>
    <t>used 2 policies OR policy and IP policy</t>
  </si>
  <si>
    <t>Liverpool John Moores University</t>
  </si>
  <si>
    <t>http://researchonline.ljmu.ac.uk</t>
  </si>
  <si>
    <t>Liverpool School of Tropical Medicine</t>
  </si>
  <si>
    <t>http://archive.lstmed.ac.uk/</t>
  </si>
  <si>
    <t>No integration between Converis and Eprints.</t>
  </si>
  <si>
    <t>London School of Economics</t>
  </si>
  <si>
    <t>http://eprints.lse.ac.uk/</t>
  </si>
  <si>
    <t>PURE (+Eprints)</t>
  </si>
  <si>
    <t>Pure feeds eprints.</t>
  </si>
  <si>
    <t>London School of Hygiene &amp; Tropical Medicine</t>
  </si>
  <si>
    <t>http://researchonline.lshtm.ac.uk/</t>
  </si>
  <si>
    <t>https://datacompass.lshtm.ac.uk/</t>
  </si>
  <si>
    <t>Authors submit papers to Elements which has a feed to Research Online. Authors submit data to Data Compass which has a feed to Elements</t>
  </si>
  <si>
    <t>London South Bank University</t>
  </si>
  <si>
    <t>http://researchopen.lsbu.ac.uk</t>
  </si>
  <si>
    <t>Data in single Haplo repository, not separate</t>
  </si>
  <si>
    <t>https://openresearch.lsbu.ac.uk/item/93q39</t>
  </si>
  <si>
    <t>Loughborough</t>
  </si>
  <si>
    <t>https://dspace.lboro.ac.uk/dspace-jspui/</t>
  </si>
  <si>
    <t>https://repository.lboro.ac.uk/</t>
  </si>
  <si>
    <t>IR being moved from DSpace to figshare mid to late 2019 (to merge with data repo )</t>
  </si>
  <si>
    <t>Manchester Metropolitan</t>
  </si>
  <si>
    <t>http://www.e-space.mmu.ac.uk/</t>
  </si>
  <si>
    <t>https://www.e-space.mmu.ac.uk/</t>
  </si>
  <si>
    <t>Base URL: http://e-space.mmu.ac.uk/cgi/oai2</t>
  </si>
  <si>
    <t>Middlesex University</t>
  </si>
  <si>
    <t>https://repository.mdx.ac.uk/</t>
  </si>
  <si>
    <t>https://mdx.figshare.com/</t>
  </si>
  <si>
    <t>CRIS system being implemented on modular basis over rest of 2024</t>
  </si>
  <si>
    <t>National Museums Scotland</t>
  </si>
  <si>
    <t>In-house system</t>
  </si>
  <si>
    <t>http://repository.nms.ac.uk</t>
  </si>
  <si>
    <t>Also involved in the British Library shared repository</t>
  </si>
  <si>
    <t>Natural History Museum</t>
  </si>
  <si>
    <t>https://nhm.openrepository.com/</t>
  </si>
  <si>
    <t>NERC (Natural Environment Research Council)</t>
  </si>
  <si>
    <t>https://nora.nerc.ac.uk/</t>
  </si>
  <si>
    <t>Newcastle University</t>
  </si>
  <si>
    <t>In house system</t>
  </si>
  <si>
    <t>https://eprints.ncl.ac.uk/</t>
  </si>
  <si>
    <t>data.ncl.ac.uk</t>
  </si>
  <si>
    <t>We use DSpace as our etheses repository</t>
  </si>
  <si>
    <t>https://www.ncl.ac.uk/media/wwwnclacuk/research/files/Research%20Publications%20and%20Copyright%20Policy%20-%20updated%20weblinks.pdf</t>
  </si>
  <si>
    <t>Newman University</t>
  </si>
  <si>
    <t>https://newman.collections.crest.ac.uk/</t>
  </si>
  <si>
    <t>Northumbria University</t>
  </si>
  <si>
    <t>https://researchportal.northumbria.ac.uk/</t>
  </si>
  <si>
    <t>https://figshare.northumbria.ac.uk/</t>
  </si>
  <si>
    <r>
      <rPr>
        <sz val="11"/>
        <color rgb="FF000000"/>
        <rFont val="Calibri, sans-serif"/>
      </rPr>
      <t xml:space="preserve">Consideration for Pure as CRIS and IR - </t>
    </r>
    <r>
      <rPr>
        <u/>
        <sz val="11"/>
        <color rgb="FF1155CC"/>
        <rFont val="Calibri, sans-serif"/>
      </rPr>
      <t>https://researchportal.northumbria.ac.uk/</t>
    </r>
  </si>
  <si>
    <t>Norwich University of the Arts</t>
  </si>
  <si>
    <t>https://nua.collections.crest.ac.uk/</t>
  </si>
  <si>
    <t>Open University</t>
  </si>
  <si>
    <t>http://oro.open.ac.uk/</t>
  </si>
  <si>
    <t>https://ordo.open.ac.uk/</t>
  </si>
  <si>
    <t>Oxford Brookes University</t>
  </si>
  <si>
    <t>OpenEquella</t>
  </si>
  <si>
    <t>https://radar.brookes.ac.uk/radar/access/home.do</t>
  </si>
  <si>
    <t>24/04/2024</t>
  </si>
  <si>
    <t>Queen Margaret University, Edinburgh</t>
  </si>
  <si>
    <t>http://eresearch.qmu.ac.uk/</t>
  </si>
  <si>
    <t>N/A</t>
  </si>
  <si>
    <t>https://eresearch.qmu.ac.uk/handle/20.500.12289/1</t>
  </si>
  <si>
    <t>QMU's eData repository is a separate "community" in QMU's eResearch DSpace repository</t>
  </si>
  <si>
    <t>Queen Mary University of London</t>
  </si>
  <si>
    <t>https://qmro.qmul.ac.uk/</t>
  </si>
  <si>
    <t>24/10/2023</t>
  </si>
  <si>
    <t>Queen's University Belfast</t>
  </si>
  <si>
    <t>https://pure.qub.ac.uk/portal/</t>
  </si>
  <si>
    <t>Robert Gordon University</t>
  </si>
  <si>
    <t>https://openair.rgu.ac.uk</t>
  </si>
  <si>
    <t>Rothamsted Research</t>
  </si>
  <si>
    <t>https://repository.rothamsted.ac.uk</t>
  </si>
  <si>
    <t>Royal College of Music London</t>
  </si>
  <si>
    <t>http://researchonline.rcm.ac.uk/</t>
  </si>
  <si>
    <t>NA</t>
  </si>
  <si>
    <t>Royal Holloway University of London</t>
  </si>
  <si>
    <r>
      <rPr>
        <u/>
        <sz val="11"/>
        <color rgb="FF000000"/>
        <rFont val="Calibri, sans-serif"/>
      </rPr>
      <t>https://pure.royalholloway.ac.uk/portal/en/publications/search.html</t>
    </r>
  </si>
  <si>
    <t>Science and Technology Facilities Council</t>
  </si>
  <si>
    <t>https://epubs.stfc.ac.uk/index</t>
  </si>
  <si>
    <t>https://edata.stfc.ac.uk/</t>
  </si>
  <si>
    <t>30/5/2019</t>
  </si>
  <si>
    <t>Sheffield Hallam</t>
  </si>
  <si>
    <t>http://shura.shu.ac.uk/</t>
  </si>
  <si>
    <t>https://libguides.shu.ac.uk/OpenAccess/rightsretention</t>
  </si>
  <si>
    <t>SOAS</t>
  </si>
  <si>
    <t>https://eprints.soas.ac.uk/</t>
  </si>
  <si>
    <t>Solent University</t>
  </si>
  <si>
    <t>http://pure.solent.ac.uk/</t>
  </si>
  <si>
    <t>SRUC</t>
  </si>
  <si>
    <t>http://pure.sruc.ac.uk/</t>
  </si>
  <si>
    <t>https://sruc.figshare.com/</t>
  </si>
  <si>
    <t>St George's University of London</t>
  </si>
  <si>
    <t>http://openaccess.sgul.ac.uk/</t>
  </si>
  <si>
    <t>https://sgul.figshare.com/</t>
  </si>
  <si>
    <t>Symplectic Elements is linked to EPrints, figshare is separate</t>
  </si>
  <si>
    <t>St Mary's University, Twickenham</t>
  </si>
  <si>
    <t>https://research.stmarys.ac.uk/</t>
  </si>
  <si>
    <t>Staffordshire University</t>
  </si>
  <si>
    <t>http://eprints.staffs.ac.uk/</t>
  </si>
  <si>
    <t>Strathyclyde</t>
  </si>
  <si>
    <t>http://strathprints.strath.ac.uk/</t>
  </si>
  <si>
    <t>Sussex University</t>
  </si>
  <si>
    <t>http://sro.sussex.ac.uk/</t>
  </si>
  <si>
    <t>none as yet - see Notes</t>
  </si>
  <si>
    <t>https://sussex.figshare.com/</t>
  </si>
  <si>
    <t>29/05/2019</t>
  </si>
  <si>
    <t>Will be implementing Symplectic Elements (late 2019)</t>
  </si>
  <si>
    <t>Swansea University</t>
  </si>
  <si>
    <t>VuFind</t>
  </si>
  <si>
    <t>https://cronfa.swan.ac.uk/</t>
  </si>
  <si>
    <t>System developed in house</t>
  </si>
  <si>
    <t>Zenodo</t>
  </si>
  <si>
    <t>https://zenodo.org/communities/swansea-university/</t>
  </si>
  <si>
    <t>Teesside University</t>
  </si>
  <si>
    <t>https://research.tees.ac.uk/en/</t>
  </si>
  <si>
    <t>Ulster University</t>
  </si>
  <si>
    <t>https://pure.ulster.ac.uk/en/</t>
  </si>
  <si>
    <t>29/05/19</t>
  </si>
  <si>
    <t>University College London</t>
  </si>
  <si>
    <t>http://discovery.ucl.ac.uk/</t>
  </si>
  <si>
    <t>https://rdr.ucl.ac.uk/</t>
  </si>
  <si>
    <t>EPrints for pilot Open Education repository: https://open-education-repository.ucl.ac.uk/</t>
  </si>
  <si>
    <t>University for the Creative Arts</t>
  </si>
  <si>
    <t>https://research.uca.ac.uk/</t>
  </si>
  <si>
    <t>This entry said our repository was Pure, which I've correct to EPrints. It never has been Pure so this is a bit of a mystery! (from repository manager ucaro@uca.ac.uk, 7 Feb 2022)</t>
  </si>
  <si>
    <t>University of Aberdeen</t>
  </si>
  <si>
    <t>http://aura.abdn.ac.uk/</t>
  </si>
  <si>
    <t>https://www.abdn.ac.uk/staffnet/documents/policy-zone-research-and-knowledge-exchange/Research_Publications_Policy_2023.pdf</t>
  </si>
  <si>
    <t>University of Bath</t>
  </si>
  <si>
    <t>https://researchportal.bath.ac.uk/</t>
  </si>
  <si>
    <t>University of Bedfordshire</t>
  </si>
  <si>
    <t>http://uobrep.openrepository.com/uobrep</t>
  </si>
  <si>
    <t>15/06/23</t>
  </si>
  <si>
    <t>Updated this to show correctly DSpace as repository software (rachel.stone@beds.ac.uk)</t>
  </si>
  <si>
    <t>University of Birmingham</t>
  </si>
  <si>
    <t>https://research.birmingham.ac.uk/portal/en/</t>
  </si>
  <si>
    <t>https://edata.bham.ac.uk</t>
  </si>
  <si>
    <t>ePrints used for theses and data repositories</t>
  </si>
  <si>
    <t>University of Bolton</t>
  </si>
  <si>
    <t>http://ubir.bolton.ac.uk/</t>
  </si>
  <si>
    <t>University of Bradford</t>
  </si>
  <si>
    <t>https://bradscholars.brad.ac.uk/</t>
  </si>
  <si>
    <t>Vidatum</t>
  </si>
  <si>
    <t>University of Brighton</t>
  </si>
  <si>
    <t>https://research.brighton.ac.uk/</t>
  </si>
  <si>
    <t>https://researchdata.brighton.ac.uk/</t>
  </si>
  <si>
    <t>30/05/2019</t>
  </si>
  <si>
    <t>University of Bristol</t>
  </si>
  <si>
    <t>http://research-information.bristol.ac.uk/</t>
  </si>
  <si>
    <t>Bespoke system for Data</t>
  </si>
  <si>
    <t>University of Cambridge</t>
  </si>
  <si>
    <t>https://www.repository.cam.ac.uk/</t>
  </si>
  <si>
    <t>Symplectic Elements (6.15)</t>
  </si>
  <si>
    <t>Apollo, DSpace based repository, is used for all research outputs. Integration with Elements (RT2)</t>
  </si>
  <si>
    <t>https://www.openaccess.cam.ac.uk/cambridge-open-access-policy/self-archiving-policy</t>
  </si>
  <si>
    <t>University of Central Lancashire</t>
  </si>
  <si>
    <t>http://clok.uclan.ac.uk/</t>
  </si>
  <si>
    <t>https://uclandata.uclan.ac.uk/</t>
  </si>
  <si>
    <t>University of Chester</t>
  </si>
  <si>
    <t>http://chesterrep.openrepository.com/</t>
  </si>
  <si>
    <t>n/a</t>
  </si>
  <si>
    <t>15/09/2022</t>
  </si>
  <si>
    <t>University of Chichester</t>
  </si>
  <si>
    <t>http://eprints.chi.ac.uk/</t>
  </si>
  <si>
    <t>None currently</t>
  </si>
  <si>
    <t>University of Cumbria</t>
  </si>
  <si>
    <t>http://insight.cumbria.ac.uk/</t>
  </si>
  <si>
    <t>University of Dundee</t>
  </si>
  <si>
    <t>http://discovery.dundee.ac.uk/portal/</t>
  </si>
  <si>
    <t>University of East Anglia</t>
  </si>
  <si>
    <t>https://ueaeprints.uea.ac.uk/</t>
  </si>
  <si>
    <t>13/02/2019</t>
  </si>
  <si>
    <t>University of East London</t>
  </si>
  <si>
    <t>https://repository.uel.ac.uk</t>
  </si>
  <si>
    <t>31/07/2019</t>
  </si>
  <si>
    <t>Haplo repository is for all research outputs</t>
  </si>
  <si>
    <t>University of Edinburgh</t>
  </si>
  <si>
    <t>https://www.research.ed.ac.uk/ and https://www.era.lib.ed.ac.uk/</t>
  </si>
  <si>
    <t>https://datashare.ed.ac.uk/</t>
  </si>
  <si>
    <t>DSpace for Open Data https://datashare.is.ed.ac.uk/</t>
  </si>
  <si>
    <t>https://www.ed.ac.uk/information-services/about/policies-and-regulations/research-publications</t>
  </si>
  <si>
    <t>University of Essex</t>
  </si>
  <si>
    <t>http://repository.essex.ac.uk/</t>
  </si>
  <si>
    <t>University of Exeter</t>
  </si>
  <si>
    <t>https://ore.exeter.ac.uk/repository/</t>
  </si>
  <si>
    <t>http://hdl.handle.net/10871/134222</t>
  </si>
  <si>
    <t>University of Glasgow</t>
  </si>
  <si>
    <t>https://eprints.gla.ac.uk/</t>
  </si>
  <si>
    <t>Delivered via Finance System (Agresso Project Module) and Repository Integration.</t>
  </si>
  <si>
    <t>https://researchdata.gla.ac.uk</t>
  </si>
  <si>
    <t>University of Greenwich</t>
  </si>
  <si>
    <t>http://gala.gre.ac.uk/</t>
  </si>
  <si>
    <t>24/05/2021</t>
  </si>
  <si>
    <t>Pure was historically listed, and this was inaccurate (KS)</t>
  </si>
  <si>
    <t>University of Hertfordshire</t>
  </si>
  <si>
    <t>https://uhra.herts.ac.uk/</t>
  </si>
  <si>
    <t>22/09/2021</t>
  </si>
  <si>
    <t>University of Huddersfield</t>
  </si>
  <si>
    <t>https://eprints.hud.ac.uk/</t>
  </si>
  <si>
    <t>PURE https://pure.hud.ac.uk/</t>
  </si>
  <si>
    <t>Eprints Repository used for E-theses and non-academic research outputs. Pure used for academics' REF research outputs post 2014</t>
  </si>
  <si>
    <t>University of Kent</t>
  </si>
  <si>
    <t>https://kar.kent.ac.uk/</t>
  </si>
  <si>
    <t>Worktribe (pre-award)</t>
  </si>
  <si>
    <t>http://data.kent.ac.uk</t>
  </si>
  <si>
    <t>University of Leeds</t>
  </si>
  <si>
    <t>http://eprints.whiterose.ac.uk/</t>
  </si>
  <si>
    <t>https://archive.researchdata.leeds.ac.uk/</t>
  </si>
  <si>
    <t>27/07/2022</t>
  </si>
  <si>
    <t>Separate repository for ETheses (https://etheses.whiterose.ac.uk); separate repositories for research data, and Digital Library (all EPrints)</t>
  </si>
  <si>
    <t>https://ris.leeds.ac.uk/research-excellence/university-of-leeds-publications-policy/</t>
  </si>
  <si>
    <t>University of Leicester</t>
  </si>
  <si>
    <t>https://lra.le.ac.uk/</t>
  </si>
  <si>
    <t>https://leicester.figshare.com/</t>
  </si>
  <si>
    <t>13/10/2022</t>
  </si>
  <si>
    <t>figshare used for data repository; IR also being moved to figshare mid 2019 (to replace DSpace)</t>
  </si>
  <si>
    <t>University of Lincoln</t>
  </si>
  <si>
    <t>http://eprints.lincoln.ac.uk/</t>
  </si>
  <si>
    <t>20/03/2022</t>
  </si>
  <si>
    <t>University of Liverpool</t>
  </si>
  <si>
    <t>https://livrepository.liverpool.ac.uk</t>
  </si>
  <si>
    <t>https://datacat.liverpool.ac.uk</t>
  </si>
  <si>
    <t>14/08/2024</t>
  </si>
  <si>
    <t>Repository currently linked to CRIS. In process of linking Data Repository to CRIS.</t>
  </si>
  <si>
    <t>https://www.n8research.org.uk/view/12315/N8-RightsRetentionStatement-1.pdf</t>
  </si>
  <si>
    <t>University of Manchester</t>
  </si>
  <si>
    <t>https://www.research.manchester.ac.uk/portal/</t>
  </si>
  <si>
    <t>https://www.library.manchester.ac.uk/services/research/open-research/access/rights-retention/</t>
  </si>
  <si>
    <t>University of Northampton</t>
  </si>
  <si>
    <t>http://nectar.northampton.ac.uk/</t>
  </si>
  <si>
    <t>Pure will feed e-prints and will also be used as data repository (currently implementing)</t>
  </si>
  <si>
    <t>University of Nottingham</t>
  </si>
  <si>
    <t>https://nottingham-repository.worktribe.com/</t>
  </si>
  <si>
    <t>https://rdmc.nottingham.ac.uk/</t>
  </si>
  <si>
    <t>DSpace currently used for research data &amp; exam papers. EPrints currently used for Theses, dissertations &amp; research outputs for our China &amp; Malaysia campuses.</t>
  </si>
  <si>
    <t>University of Oxford</t>
  </si>
  <si>
    <t>http://ora.ox.ac.uk/</t>
  </si>
  <si>
    <t>Symplectic Elements (RT2)</t>
  </si>
  <si>
    <t>ORA (Fedora)</t>
  </si>
  <si>
    <t>https://ora.ox.ac.uk/</t>
  </si>
  <si>
    <t>16/01/2024</t>
  </si>
  <si>
    <t>Running on Fedora 4 / Hyrax - Fedora 6 (OCFL) implemented 2023/24 as part of digital preservation solution</t>
  </si>
  <si>
    <t>https://openaccess.ox.ac.uk/rights-retention/</t>
  </si>
  <si>
    <t>University of Plymouth</t>
  </si>
  <si>
    <t>https://pearl.plymouth.ac.uk/</t>
  </si>
  <si>
    <t>University of Portsmouth</t>
  </si>
  <si>
    <t>https://researchportal.port.ac.uk/portal/</t>
  </si>
  <si>
    <t>https://researchportal.port.ac.uk/portal/en/datasets/search.html</t>
  </si>
  <si>
    <t>Pure used as data repository</t>
  </si>
  <si>
    <t>University of Reading</t>
  </si>
  <si>
    <t>http://centaur.reading.ac.uk/</t>
  </si>
  <si>
    <t>https://researchdata.reading.ac.uk</t>
  </si>
  <si>
    <t>University of Roehampton</t>
  </si>
  <si>
    <t>https://pure.roehampton.ac.uk/portal/</t>
  </si>
  <si>
    <t>University of Salford</t>
  </si>
  <si>
    <t>http://usir.salford.ac.uk/</t>
  </si>
  <si>
    <t>https://salford.figshare.com/</t>
  </si>
  <si>
    <t>University of Sheffield</t>
  </si>
  <si>
    <t>https://orda.shef.ac.uk/</t>
  </si>
  <si>
    <t>https://www.sheffield.ac.uk/library/copyright/research-publications-copyright-policy</t>
  </si>
  <si>
    <t>University of Southampton</t>
  </si>
  <si>
    <t>http://eprints.soton.ac.uk/</t>
  </si>
  <si>
    <t>20/07/2022</t>
  </si>
  <si>
    <t>Pure feeds ePrints which is a combined publications and data repository; 
Pure directly feeds the University website and researcher's webpages; 
Pure Portal is for internal soton use only</t>
  </si>
  <si>
    <t>University of St Andrews</t>
  </si>
  <si>
    <t>http://research-repository.st-andrews.ac.uk/</t>
  </si>
  <si>
    <t>https://risweb.st-andrews.ac.uk/portal/en/datasets/index.html</t>
  </si>
  <si>
    <t>Pure used as Data Repository (https://risweb.st-andrews.ac.uk/portal/en/datasets/index.html)</t>
  </si>
  <si>
    <t>https://www.st-andrews.ac.uk/policy/research-open-research/open-access-policy.pdf</t>
  </si>
  <si>
    <t xml:space="preserve">University of Stirling </t>
  </si>
  <si>
    <t>https://dspace.stir.ac.uk/</t>
  </si>
  <si>
    <t>https://datastorre.stir.ac.uk/</t>
  </si>
  <si>
    <r>
      <rPr>
        <sz val="11"/>
        <color rgb="FF000000"/>
        <rFont val="Calibri, sans-serif"/>
      </rPr>
      <t xml:space="preserve">DSpace also used for data repository </t>
    </r>
    <r>
      <rPr>
        <sz val="11"/>
        <color rgb="FF1155CC"/>
        <rFont val="Calibri, sans-serif"/>
      </rPr>
      <t>http://datastorre.stir.ac.uk</t>
    </r>
  </si>
  <si>
    <t>University of Surrey</t>
  </si>
  <si>
    <t>Esploro</t>
  </si>
  <si>
    <t>https://openresearch.surrey.ac.uk/esploro/</t>
  </si>
  <si>
    <t>University of Sussex</t>
  </si>
  <si>
    <t>31/5/2019</t>
  </si>
  <si>
    <t>University of the Arts London</t>
  </si>
  <si>
    <t>https://ualresearchonline.arts.ac.uk</t>
  </si>
  <si>
    <t>University of the West of England</t>
  </si>
  <si>
    <t>https://uwe-repository.worktribe.com/</t>
  </si>
  <si>
    <t>https://www1.uwe.ac.uk/library/usingthelibrary/searchforthingsa-z/uweresearchdatarepository.aspx</t>
  </si>
  <si>
    <t>29/07/19</t>
  </si>
  <si>
    <t>Moved from EPrints - Data Repository is still in progress</t>
  </si>
  <si>
    <t>University of the West of Scotland</t>
  </si>
  <si>
    <t>https://research-portal.uws.ac.uk/</t>
  </si>
  <si>
    <t>University of Warwick</t>
  </si>
  <si>
    <t>http://wrap.warwick.ac.uk</t>
  </si>
  <si>
    <t>Ideate</t>
  </si>
  <si>
    <t>Repository systems are being reviewed in 2021</t>
  </si>
  <si>
    <t>University of West London</t>
  </si>
  <si>
    <t>https://repository.uwl.ac.uk/</t>
  </si>
  <si>
    <t>Pure was stated, but this is inaccurate.</t>
  </si>
  <si>
    <t>University of Westminster</t>
  </si>
  <si>
    <t>https://westminsterresearch.westminster.ac.uk/</t>
  </si>
  <si>
    <t>University of Winchester</t>
  </si>
  <si>
    <t>https://winchester.elsevierpure.com/</t>
  </si>
  <si>
    <t>University of Wolverhampton</t>
  </si>
  <si>
    <t>https://wlv.openrepository.com/wlv/</t>
  </si>
  <si>
    <t>University of Worcester</t>
  </si>
  <si>
    <t>https://eprints.worc.ac.uk/</t>
  </si>
  <si>
    <t>As of yet no integration betwen EPrints &amp; PURE</t>
  </si>
  <si>
    <t>University of York</t>
  </si>
  <si>
    <t>https://pure.york.ac.uk/portal/en/datasets/index.html</t>
  </si>
  <si>
    <t>York St. John</t>
  </si>
  <si>
    <t>https://ray.yorksj.ac.uk/</t>
  </si>
  <si>
    <t>Institution</t>
  </si>
  <si>
    <t>Type</t>
  </si>
  <si>
    <t>No. of FTE Students (https://www.timeshighereducation.com/world-university-rankings/latest/world-ranking#!/length/25/locations/GBR/sort_by/scores_citations/sort_order/asc/cols/scores)</t>
  </si>
  <si>
    <t>Size Category</t>
  </si>
  <si>
    <t>Research Intensity (https://www.thecompleteuniversityguide.co.uk/league-tables/rankings?tabletype=full-table)</t>
  </si>
  <si>
    <t>Research Intensity Category</t>
  </si>
  <si>
    <t>Region (www.ucas.com)</t>
  </si>
  <si>
    <t>Year Granted University Status (https://www.officeforstudents.org.uk/for-providers/regulatory-resources/the-ofs-register/#/ OR Wikipedia)</t>
  </si>
  <si>
    <t>If Not University Status, Year Granted Degree-Awarding Powers (https://www.officeforstudents.org.uk/for-providers/regulatory-resources/the-ofs-register/#/)</t>
  </si>
  <si>
    <t>Age Group (Year of University Status OR Degree-Awarding Powers)</t>
  </si>
  <si>
    <t>Member Groups</t>
  </si>
  <si>
    <t>CRIS Software</t>
  </si>
  <si>
    <t>Repository Software</t>
  </si>
  <si>
    <t>Repository URL</t>
  </si>
  <si>
    <t>Separate Data Repository?</t>
  </si>
  <si>
    <t>Data Repository Software</t>
  </si>
  <si>
    <t>Data Repository URL</t>
  </si>
  <si>
    <t>Last Updated</t>
  </si>
  <si>
    <t>University (or University-Like)</t>
  </si>
  <si>
    <t>Very Small (&lt; 5,000)</t>
  </si>
  <si>
    <t>Not listed</t>
  </si>
  <si>
    <t>East of England</t>
  </si>
  <si>
    <t>4 (1960-1991)</t>
  </si>
  <si>
    <t>No - Uses same repository</t>
  </si>
  <si>
    <t>Middle (0.34 - 0.66)</t>
  </si>
  <si>
    <t>Scotland</t>
  </si>
  <si>
    <t>6 (2000+)</t>
  </si>
  <si>
    <t>MillionPlus</t>
  </si>
  <si>
    <t>Large (20,000 - 24,999)</t>
  </si>
  <si>
    <t>High (&gt; 0.66)</t>
  </si>
  <si>
    <t>1 (Ancient)</t>
  </si>
  <si>
    <t>Russell</t>
  </si>
  <si>
    <t>Low (&lt; 0.34)</t>
  </si>
  <si>
    <t>5 (1990s)</t>
  </si>
  <si>
    <t>Manchester Metropolitan University</t>
  </si>
  <si>
    <t>Very Large (&gt; 24,999)</t>
  </si>
  <si>
    <t>North-West</t>
  </si>
  <si>
    <t>South-East</t>
  </si>
  <si>
    <t>3 (1900-1959)</t>
  </si>
  <si>
    <t>West Midlands</t>
  </si>
  <si>
    <t>High-Medium (15,000 - 19,999)</t>
  </si>
  <si>
    <t>https://aru.figshare.com/</t>
  </si>
  <si>
    <t>Low-Medium (10,000 - 14,999)</t>
  </si>
  <si>
    <t>Wales</t>
  </si>
  <si>
    <t>Loughborough University</t>
  </si>
  <si>
    <t>East Midlands</t>
  </si>
  <si>
    <t>https://figshare.le.ac.uk/</t>
  </si>
  <si>
    <t>London</t>
  </si>
  <si>
    <t>Haplo (now Cayuse Repository)</t>
  </si>
  <si>
    <t>openEQUELLA</t>
  </si>
  <si>
    <t>Small (5,000 - 9,999)</t>
  </si>
  <si>
    <t>Northern Ireland</t>
  </si>
  <si>
    <t>South-West</t>
  </si>
  <si>
    <t>Digital Commons</t>
  </si>
  <si>
    <t>No data repository listed</t>
  </si>
  <si>
    <t>Other (e.g. Conservatoire / Funder / Institute / Museum)</t>
  </si>
  <si>
    <t>Not Granted</t>
  </si>
  <si>
    <t>Yorkshire and The Humber</t>
  </si>
  <si>
    <t>DSpace AND Pure</t>
  </si>
  <si>
    <t>Health Sciences University (AECC University College)</t>
  </si>
  <si>
    <t>Birkbeck, University of London</t>
  </si>
  <si>
    <t>Birmingham Newman University</t>
  </si>
  <si>
    <t>GuildHE</t>
  </si>
  <si>
    <t>Externally Validated</t>
  </si>
  <si>
    <t>2 (18th/19th century)</t>
  </si>
  <si>
    <t>London School of Economics and Political Science</t>
  </si>
  <si>
    <t>Natural Environment Research Council (NERC)</t>
  </si>
  <si>
    <t>Royal College of Music</t>
  </si>
  <si>
    <t>Sheffield Hallam University</t>
  </si>
  <si>
    <t>SOAS University of London</t>
  </si>
  <si>
    <t>University of Staffordshire</t>
  </si>
  <si>
    <t>GuildHE; MillionPlus</t>
  </si>
  <si>
    <t>Canterbury Christ Church University</t>
  </si>
  <si>
    <t>Royal Holloway, University of London</t>
  </si>
  <si>
    <t>https://pure.royalholloway.ac.uk/portal/en/publications/search.html</t>
  </si>
  <si>
    <t>Southampton Solent University</t>
  </si>
  <si>
    <t>North-East</t>
  </si>
  <si>
    <t>https://nms.iro.bl.uk/</t>
  </si>
  <si>
    <t>Yes - different software</t>
  </si>
  <si>
    <t>https://data.bathspa.ac.uk/</t>
  </si>
  <si>
    <t>Leeds Beckett University</t>
  </si>
  <si>
    <t>St George's, University of London</t>
  </si>
  <si>
    <t>University of Strathclyde</t>
  </si>
  <si>
    <t>York St. John University</t>
  </si>
  <si>
    <t>https://yorksj.figshare.com/raydar</t>
  </si>
  <si>
    <t>SRUC (Scotland's Rural College)</t>
  </si>
  <si>
    <t>Samvera Sufia</t>
  </si>
  <si>
    <t>University of Hull</t>
  </si>
  <si>
    <t>Science and Technology Facilities Council (STFC)</t>
  </si>
  <si>
    <t>Yes - same software</t>
  </si>
  <si>
    <t>Aston University</t>
  </si>
  <si>
    <t>London School of Hygiene and Tropical Medicine</t>
  </si>
  <si>
    <t>https://keele-repository.worktribe.com/</t>
  </si>
  <si>
    <t>Table 1. Repository Systems by Number of Instances</t>
  </si>
  <si>
    <t>Table 2. Repository Systems by System Type and Developer/Owner</t>
  </si>
  <si>
    <t>Table 3. Repository System Types by Number of Instances</t>
  </si>
  <si>
    <t>Repository System</t>
  </si>
  <si>
    <t>Total #Instances</t>
  </si>
  <si>
    <t>#Instances for Universities*</t>
  </si>
  <si>
    <t>#Instances for Other Organisations</t>
  </si>
  <si>
    <t>System Type</t>
  </si>
  <si>
    <t>Developer/Owner</t>
  </si>
  <si>
    <t>Repository System Type</t>
  </si>
  <si>
    <t>Commercial</t>
  </si>
  <si>
    <t>bepress / Elsevier</t>
  </si>
  <si>
    <t>Ex Libris / ProQuest</t>
  </si>
  <si>
    <t>Open source</t>
  </si>
  <si>
    <t>Digital Science</t>
  </si>
  <si>
    <t>Cayuse</t>
  </si>
  <si>
    <t>Elsevier</t>
  </si>
  <si>
    <t>DuraSpace / Lyrasis</t>
  </si>
  <si>
    <t>Samvera</t>
  </si>
  <si>
    <t>Apereo</t>
  </si>
  <si>
    <t>VuFind Community</t>
  </si>
  <si>
    <t>Total</t>
  </si>
  <si>
    <t>(+2 to represent additional repositories for institutions with DSpace and Pure)</t>
  </si>
  <si>
    <t>*or university-like institutions.</t>
  </si>
  <si>
    <t>Table 4. Non-Data vs Data Repositories</t>
  </si>
  <si>
    <t>Does Institution Have Separate Data Repository?</t>
  </si>
  <si>
    <t>Yes - Different software</t>
  </si>
  <si>
    <t>Yes - Same software</t>
  </si>
  <si>
    <t>#Instances</t>
  </si>
  <si>
    <t>Non-Data Repository System</t>
  </si>
  <si>
    <t>Data Repository Details</t>
  </si>
  <si>
    <t>Figshare x 2, Pure x 1</t>
  </si>
  <si>
    <t>Figshare x 10, Pure x 2</t>
  </si>
  <si>
    <t>EPrints x 1, Figshare x 4</t>
  </si>
  <si>
    <t>DSpace x 1, Fedora x 1, Figshare x 1, Sufia x 1</t>
  </si>
  <si>
    <t>Table 5. Single Repository Used for Data and Non-Data</t>
  </si>
  <si>
    <t>Table 6. Separate Data Repository with Different Software</t>
  </si>
  <si>
    <t>Table 7. Separate Data Repository with Same Software</t>
  </si>
  <si>
    <t>#Instances (Very Small i.e. &lt; 5,000)</t>
  </si>
  <si>
    <t>#Instances (Small i.e. 5,000 - 9,999)</t>
  </si>
  <si>
    <t>#Instances (Low Medium i.e. 10,000 - 14,999)</t>
  </si>
  <si>
    <t>#Instances (High Medium i.e. 15,000 - 19,999)</t>
  </si>
  <si>
    <t>#Different Types of System</t>
  </si>
  <si>
    <t>#Instances (Large i.e. 20,000 - 24,999)</t>
  </si>
  <si>
    <t>#Instances (Very Large i.e. &gt; 24,999)</t>
  </si>
  <si>
    <t>#Instances (Low i.e. &lt; 0.34)</t>
  </si>
  <si>
    <t>#Instances (Middle i.e. 0.34 - 0.66)</t>
  </si>
  <si>
    <t>#Instances (High i.e. &gt; 0.67)</t>
  </si>
  <si>
    <t>GuildHE AND MillionPlus</t>
  </si>
  <si>
    <t>Russell Group</t>
  </si>
  <si>
    <t>Table 8. University* Non-Data Repositories by Size of Institution (Student Numbers)</t>
  </si>
  <si>
    <t>Table 9. University* Non-Data Repositories by Research Intensity**</t>
  </si>
  <si>
    <t>**"Research Intensity" data not available for 7 institutions.</t>
  </si>
  <si>
    <t>Table 10. University* Non-Data Repositories by Age of Institution</t>
  </si>
  <si>
    <t>Table 11. University* Non-Data Repositories by Institutional Groups**</t>
  </si>
  <si>
    <t>**Inst. Group data identified for only 46 institutions.</t>
  </si>
  <si>
    <t>Table 12. University* Non-Data Repositories by Region</t>
  </si>
  <si>
    <t>Category Type</t>
  </si>
  <si>
    <t>Category Value</t>
  </si>
  <si>
    <t>Total Instances</t>
  </si>
  <si>
    <t>Size</t>
  </si>
  <si>
    <t>Very Small</t>
  </si>
  <si>
    <t>Small</t>
  </si>
  <si>
    <t>Low Medium</t>
  </si>
  <si>
    <t>High Medium</t>
  </si>
  <si>
    <t>Large</t>
  </si>
  <si>
    <t>Very Large</t>
  </si>
  <si>
    <t>Low</t>
  </si>
  <si>
    <t>Middle</t>
  </si>
  <si>
    <t>High</t>
  </si>
  <si>
    <t>Research Intensity</t>
  </si>
  <si>
    <t>Age</t>
  </si>
  <si>
    <t>Institutional Groups</t>
  </si>
  <si>
    <t>Region</t>
  </si>
  <si>
    <t>Region (https://www.ucas.com/explore/search/providers)</t>
  </si>
  <si>
    <t>From Table 1</t>
  </si>
  <si>
    <t>Overall diversity</t>
  </si>
  <si>
    <t>From Table 3</t>
  </si>
  <si>
    <t>Universities</t>
  </si>
  <si>
    <t>Other Organisations</t>
  </si>
  <si>
    <t>From Table 4</t>
  </si>
  <si>
    <t>Table 7b. Data Merge from Tables 5, 6 and 7</t>
  </si>
  <si>
    <t>From Table 7b</t>
  </si>
  <si>
    <t>Single Repository Used for Data and Non-Data</t>
  </si>
  <si>
    <t>Separate Repository, Different Software</t>
  </si>
  <si>
    <t>Separate Repository, Same Software</t>
  </si>
  <si>
    <t>From Table 8</t>
  </si>
  <si>
    <t>"Variety Score"</t>
  </si>
  <si>
    <t>"Variety Score" (out of 1)</t>
  </si>
  <si>
    <t>Table 13. "Variety Scores" Across Each Category (from Tables 8 to 12)</t>
  </si>
  <si>
    <t>From Table 9</t>
  </si>
  <si>
    <t>From Table 10</t>
  </si>
  <si>
    <t>From Table 11</t>
  </si>
  <si>
    <t>From Table 12</t>
  </si>
  <si>
    <t>Category Type: Value</t>
  </si>
  <si>
    <t>Size: Very Small</t>
  </si>
  <si>
    <t>Size: Small</t>
  </si>
  <si>
    <t>Size: Low Medium</t>
  </si>
  <si>
    <t>Size: High Medium</t>
  </si>
  <si>
    <t>Size: Large</t>
  </si>
  <si>
    <t>Size: Very Large</t>
  </si>
  <si>
    <t>Research Intensity: Low</t>
  </si>
  <si>
    <t>Research Intensity: Middle</t>
  </si>
  <si>
    <t>Research Intensity: High</t>
  </si>
  <si>
    <t>Age: 1 (Ancient)</t>
  </si>
  <si>
    <t>Age: 2 (18th/19th century)</t>
  </si>
  <si>
    <t>Age: 3 (1900-1959)</t>
  </si>
  <si>
    <t>Age: 4 (1960-1991)</t>
  </si>
  <si>
    <t>Age: 5 (1990s)</t>
  </si>
  <si>
    <t>Age: 6 (2000+)</t>
  </si>
  <si>
    <t>Institutional Groups: GuildHE</t>
  </si>
  <si>
    <t>Institutional Groups: GuildHE AND MillionPlus</t>
  </si>
  <si>
    <t>Institutional Groups: MillionPlus</t>
  </si>
  <si>
    <t>Institutional Groups: Russell Group</t>
  </si>
  <si>
    <t>Region: South-East</t>
  </si>
  <si>
    <t>Region: London</t>
  </si>
  <si>
    <t>Region: South-West</t>
  </si>
  <si>
    <t>Region: East of England</t>
  </si>
  <si>
    <t>Region: East Midlands</t>
  </si>
  <si>
    <t>Region: West Midlands</t>
  </si>
  <si>
    <t>Region: Yorkshire and The Humber</t>
  </si>
  <si>
    <t>Region: North-East</t>
  </si>
  <si>
    <t>Region: North-West</t>
  </si>
  <si>
    <t>Region: Northern Ireland</t>
  </si>
  <si>
    <t>Region: Scotland</t>
  </si>
  <si>
    <t>Region: Wales</t>
  </si>
  <si>
    <t>From Table 13b</t>
  </si>
  <si>
    <t>Table 13b. Extract from Table 13 for Visualization, Ordered by "Variety Score"</t>
  </si>
  <si>
    <r>
      <t xml:space="preserve">The sheet </t>
    </r>
    <r>
      <rPr>
        <b/>
        <sz val="10"/>
        <color rgb="FF000000"/>
        <rFont val="Arial"/>
        <family val="2"/>
      </rPr>
      <t>"RAW UKCORR DATA"</t>
    </r>
    <r>
      <rPr>
        <sz val="10"/>
        <color rgb="FF000000"/>
        <rFont val="Arial"/>
        <family val="2"/>
      </rPr>
      <t xml:space="preserve"> represents the original data exported from the UKCORR website. The original data was exported on the 21st November 2024.</t>
    </r>
  </si>
  <si>
    <r>
      <t xml:space="preserve">The sheet </t>
    </r>
    <r>
      <rPr>
        <b/>
        <sz val="10"/>
        <color rgb="FF000000"/>
        <rFont val="Arial"/>
        <family val="2"/>
      </rPr>
      <t>"REVISED DATA"</t>
    </r>
    <r>
      <rPr>
        <sz val="10"/>
        <color rgb="FF000000"/>
        <rFont val="Arial"/>
        <family val="2"/>
      </rPr>
      <t xml:space="preserve"> represents a version of the data that has been updated and expanded to include various other metrics.</t>
    </r>
  </si>
  <si>
    <r>
      <t xml:space="preserve">The sheet </t>
    </r>
    <r>
      <rPr>
        <b/>
        <sz val="10"/>
        <color rgb="FF000000"/>
        <rFont val="Arial"/>
        <family val="2"/>
      </rPr>
      <t>"ONLY UNI AND NON-DATA"</t>
    </r>
    <r>
      <rPr>
        <sz val="10"/>
        <color rgb="FF000000"/>
        <rFont val="Arial"/>
        <family val="2"/>
      </rPr>
      <t xml:space="preserve"> represents a subset of the revised data, looking only at "university", non-data repositories.</t>
    </r>
  </si>
  <si>
    <r>
      <t xml:space="preserve">The sheet </t>
    </r>
    <r>
      <rPr>
        <b/>
        <sz val="10"/>
        <color rgb="FF000000"/>
        <rFont val="Arial"/>
        <family val="2"/>
      </rPr>
      <t>"ANALYSIS"</t>
    </r>
    <r>
      <rPr>
        <sz val="10"/>
        <color rgb="FF000000"/>
        <rFont val="Arial"/>
        <family val="2"/>
      </rPr>
      <t xml:space="preserve"> contains tables analysing the revised data through different lenses.</t>
    </r>
  </si>
  <si>
    <r>
      <t xml:space="preserve">The sheet </t>
    </r>
    <r>
      <rPr>
        <b/>
        <sz val="10"/>
        <color rgb="FF000000"/>
        <rFont val="Arial"/>
        <family val="2"/>
      </rPr>
      <t>"VISUALISATIONS"</t>
    </r>
    <r>
      <rPr>
        <sz val="10"/>
        <color rgb="FF000000"/>
        <rFont val="Arial"/>
        <family val="2"/>
      </rPr>
      <t xml:space="preserve"> contains charts based on the tables in the Analysis sheet, for use in the presentation slides.</t>
    </r>
  </si>
  <si>
    <t>These data were used for informal analysis as part of a presentation on diversity in repository platforms across the UK, delivered at the M25 Consortium's cpd25 event, "Repositories: where are we now, where do we need to be?" on the 21st January 2025.</t>
  </si>
  <si>
    <t>Analysis of UK Repository Platforms: Who is Using What and Why?</t>
  </si>
  <si>
    <t>Data revised, expanded and analysed in November/December 2024. This spreadsheet was finalised on the 27th December 2024.</t>
  </si>
  <si>
    <t>George Bray (Robert Gordon University, ORCID 0000-0002-7925-3347)</t>
  </si>
  <si>
    <t>Original data exported on 21st November 2024 from community-maintained list on UKCORR website, which is publicly available: https://www.ukcorr.org/knowledgebase/ - note that the community-maintained nature of this source means that the data were incomplete and outdated even at the point of export.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</si>
</sst>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/dd/yyyy"/>
    <numFmt numFmtId="165" formatCode="yyyy\-mm\-dd"/>
    <numFmt numFmtId="166" formatCode="m/d/yy"/>
    <numFmt numFmtId="167" formatCode="mm/dd/yy"/>
    <numFmt numFmtId="168" formatCode="mm&quot;/&quot;dd&quot;/&quot;yyyy"/>
    <numFmt numFmtId="169" formatCode="yyyy\-mm\-dd;@"/>
  </numFmts>
  <fonts count="31">
    <font>
      <sz val="10"/>
      <color rgb="FF000000"/>
      <name val="Arial"/>
    </font>
    <font>
      <b/>
      <sz val="11"/>
      <color rgb="FF000000"/>
      <name val="Calibri"/>
    </font>
    <font>
      <b/>
      <sz val="10"/>
      <name val="Arial"/>
    </font>
    <font>
      <sz val="11"/>
      <color rgb="FF000000"/>
      <name val="Calibri"/>
    </font>
    <font>
      <u/>
      <sz val="11"/>
      <color rgb="FF000000"/>
      <name val="Calibri"/>
    </font>
    <font>
      <sz val="10"/>
      <name val="Arial"/>
    </font>
    <font>
      <u/>
      <sz val="10"/>
      <color rgb="FF0000FF"/>
      <name val="Arial"/>
    </font>
    <font>
      <u/>
      <sz val="12"/>
      <color rgb="FF006621"/>
      <name val="Roboto"/>
    </font>
    <font>
      <u/>
      <sz val="11"/>
      <color rgb="FF0000FF"/>
      <name val="Calibri"/>
    </font>
    <font>
      <sz val="11"/>
      <color rgb="FF000000"/>
      <name val="Arial"/>
    </font>
    <font>
      <sz val="10"/>
      <color rgb="FF000000"/>
      <name val="&quot;Calibri&quot;"/>
    </font>
    <font>
      <u/>
      <sz val="12"/>
      <color rgb="FF0000FF"/>
      <name val="&quot;Times New Roman&quot;"/>
    </font>
    <font>
      <u/>
      <sz val="9"/>
      <color rgb="FF1F1F1F"/>
      <name val="&quot;Google Sans&quot;"/>
    </font>
    <font>
      <u/>
      <sz val="11"/>
      <color rgb="FF1155CC"/>
      <name val="Calibri"/>
    </font>
    <font>
      <sz val="11"/>
      <color rgb="FF000000"/>
      <name val="Thread-00002110-Id-00000001"/>
    </font>
    <font>
      <sz val="9"/>
      <color rgb="FF1F1F1F"/>
      <name val="&quot;Google Sans&quot;"/>
    </font>
    <font>
      <u/>
      <sz val="11"/>
      <color rgb="FF000000"/>
      <name val="Docs-Calibri"/>
    </font>
    <font>
      <u/>
      <sz val="10"/>
      <color rgb="FF000000"/>
      <name val="Arial"/>
    </font>
    <font>
      <strike/>
      <sz val="11"/>
      <color rgb="FF000000"/>
      <name val="Calibri"/>
    </font>
    <font>
      <sz val="11"/>
      <color rgb="FF000000"/>
      <name val="Calibri, sans-serif"/>
    </font>
    <font>
      <u/>
      <sz val="11"/>
      <color rgb="FF1155CC"/>
      <name val="Calibri, sans-serif"/>
    </font>
    <font>
      <u/>
      <sz val="11"/>
      <color rgb="FF000000"/>
      <name val="Calibri, sans-serif"/>
    </font>
    <font>
      <sz val="11"/>
      <color rgb="FF1155CC"/>
      <name val="Calibri, sans-serif"/>
    </font>
    <font>
      <sz val="12"/>
      <color rgb="FF000000"/>
      <name val="Calibri"/>
      <family val="2"/>
    </font>
    <font>
      <b/>
      <u/>
      <sz val="10"/>
      <color rgb="FF000000"/>
      <name val="Arial"/>
    </font>
    <font>
      <b/>
      <sz val="10"/>
      <color theme="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4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164" fontId="3" fillId="3" borderId="1" xfId="0" applyNumberFormat="1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/>
    </xf>
    <xf numFmtId="165" fontId="3" fillId="4" borderId="1" xfId="0" applyNumberFormat="1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66" fontId="3" fillId="4" borderId="1" xfId="0" applyNumberFormat="1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167" fontId="3" fillId="4" borderId="1" xfId="0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8" fillId="4" borderId="2" xfId="0" applyFont="1" applyFill="1" applyBorder="1" applyAlignment="1">
      <alignment horizontal="left" vertical="top"/>
    </xf>
    <xf numFmtId="167" fontId="9" fillId="4" borderId="1" xfId="0" applyNumberFormat="1" applyFont="1" applyFill="1" applyBorder="1" applyAlignment="1">
      <alignment horizontal="left" vertical="top"/>
    </xf>
    <xf numFmtId="14" fontId="3" fillId="3" borderId="1" xfId="0" applyNumberFormat="1" applyFont="1" applyFill="1" applyBorder="1" applyAlignment="1">
      <alignment horizontal="left" vertical="top"/>
    </xf>
    <xf numFmtId="164" fontId="3" fillId="4" borderId="1" xfId="0" applyNumberFormat="1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 wrapText="1"/>
    </xf>
    <xf numFmtId="0" fontId="11" fillId="3" borderId="0" xfId="0" applyFont="1" applyFill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left" vertical="top"/>
    </xf>
    <xf numFmtId="165" fontId="5" fillId="3" borderId="1" xfId="0" applyNumberFormat="1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wrapText="1"/>
    </xf>
    <xf numFmtId="164" fontId="3" fillId="4" borderId="0" xfId="0" applyNumberFormat="1" applyFont="1" applyFill="1" applyAlignment="1">
      <alignment horizontal="left" vertical="top"/>
    </xf>
    <xf numFmtId="168" fontId="3" fillId="4" borderId="0" xfId="0" applyNumberFormat="1" applyFont="1" applyFill="1" applyAlignment="1">
      <alignment horizontal="left" vertical="top"/>
    </xf>
    <xf numFmtId="168" fontId="3" fillId="4" borderId="1" xfId="0" applyNumberFormat="1" applyFont="1" applyFill="1" applyBorder="1" applyAlignment="1">
      <alignment horizontal="left" vertical="top"/>
    </xf>
    <xf numFmtId="166" fontId="3" fillId="3" borderId="1" xfId="0" applyNumberFormat="1" applyFont="1" applyFill="1" applyBorder="1" applyAlignment="1">
      <alignment horizontal="left" vertical="top"/>
    </xf>
    <xf numFmtId="165" fontId="5" fillId="4" borderId="1" xfId="0" applyNumberFormat="1" applyFont="1" applyFill="1" applyBorder="1" applyAlignment="1">
      <alignment horizontal="left" vertical="top" wrapText="1"/>
    </xf>
    <xf numFmtId="14" fontId="3" fillId="4" borderId="1" xfId="0" applyNumberFormat="1" applyFont="1" applyFill="1" applyBorder="1" applyAlignment="1">
      <alignment horizontal="left" vertical="top"/>
    </xf>
    <xf numFmtId="164" fontId="3" fillId="4" borderId="1" xfId="0" applyNumberFormat="1" applyFont="1" applyFill="1" applyBorder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top" wrapText="1"/>
    </xf>
    <xf numFmtId="0" fontId="13" fillId="3" borderId="1" xfId="0" applyFont="1" applyFill="1" applyBorder="1" applyAlignment="1">
      <alignment horizontal="left" vertical="top"/>
    </xf>
    <xf numFmtId="0" fontId="14" fillId="3" borderId="1" xfId="0" applyFont="1" applyFill="1" applyBorder="1" applyAlignment="1">
      <alignment horizontal="left" vertical="top"/>
    </xf>
    <xf numFmtId="165" fontId="15" fillId="3" borderId="1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/>
    </xf>
    <xf numFmtId="164" fontId="3" fillId="4" borderId="3" xfId="0" applyNumberFormat="1" applyFont="1" applyFill="1" applyBorder="1" applyAlignment="1">
      <alignment horizontal="left" vertical="top"/>
    </xf>
    <xf numFmtId="164" fontId="3" fillId="3" borderId="0" xfId="0" applyNumberFormat="1" applyFont="1" applyFill="1" applyAlignment="1">
      <alignment horizontal="left" vertical="top"/>
    </xf>
    <xf numFmtId="0" fontId="3" fillId="4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left" vertical="top"/>
    </xf>
    <xf numFmtId="0" fontId="23" fillId="0" borderId="0" xfId="0" applyFont="1"/>
    <xf numFmtId="169" fontId="23" fillId="0" borderId="0" xfId="0" applyNumberFormat="1" applyFont="1"/>
    <xf numFmtId="0" fontId="4" fillId="4" borderId="1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8" fillId="3" borderId="1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3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0" fontId="23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5" fillId="5" borderId="4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0" xfId="0" applyFill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7" borderId="0" xfId="0" applyFont="1" applyFill="1" applyAlignment="1">
      <alignment horizontal="left" vertical="center" wrapText="1"/>
    </xf>
    <xf numFmtId="0" fontId="0" fillId="7" borderId="0" xfId="0" applyFill="1" applyAlignment="1">
      <alignment horizontal="left" vertical="center" wrapText="1"/>
    </xf>
    <xf numFmtId="0" fontId="27" fillId="8" borderId="0" xfId="0" applyFont="1" applyFill="1" applyAlignment="1">
      <alignment horizontal="left" vertical="center" wrapText="1"/>
    </xf>
    <xf numFmtId="0" fontId="0" fillId="8" borderId="0" xfId="0" applyFill="1" applyAlignment="1">
      <alignment horizontal="left" vertical="center" wrapText="1"/>
    </xf>
    <xf numFmtId="0" fontId="0" fillId="7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28" fillId="6" borderId="0" xfId="0" applyFont="1" applyFill="1" applyAlignment="1">
      <alignment horizontal="left" vertical="center" wrapText="1"/>
    </xf>
    <xf numFmtId="0" fontId="28" fillId="8" borderId="0" xfId="0" applyFont="1" applyFill="1" applyAlignment="1">
      <alignment horizontal="left" vertical="center" wrapText="1"/>
    </xf>
    <xf numFmtId="0" fontId="26" fillId="0" borderId="0" xfId="0" applyFont="1"/>
    <xf numFmtId="0" fontId="27" fillId="0" borderId="0" xfId="0" applyFont="1"/>
    <xf numFmtId="0" fontId="30" fillId="0" borderId="0" xfId="0" applyFont="1"/>
  </cellXfs>
  <cellStyles count="1">
    <cellStyle name="Normal" xfId="0" builtinId="0"/>
  </cellStyles>
  <dxfs count="118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numFmt numFmtId="169" formatCode="yyyy\-mm\-dd;@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Universities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ANALYSIS!$A$4:$A$16</c:f>
              <c:strCache>
                <c:ptCount val="13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Hyku</c:v>
                </c:pt>
                <c:pt idx="9">
                  <c:v>openEQUELLA</c:v>
                </c:pt>
                <c:pt idx="10">
                  <c:v>Pure</c:v>
                </c:pt>
                <c:pt idx="11">
                  <c:v>VuFind</c:v>
                </c:pt>
                <c:pt idx="12">
                  <c:v>Worktribe</c:v>
                </c:pt>
              </c:strCache>
            </c:strRef>
          </c:cat>
          <c:val>
            <c:numRef>
              <c:f>ANALYSIS!$C$4:$C$16</c:f>
              <c:numCache>
                <c:formatCode>General</c:formatCode>
                <c:ptCount val="13"/>
                <c:pt idx="0">
                  <c:v>1</c:v>
                </c:pt>
                <c:pt idx="1">
                  <c:v>17</c:v>
                </c:pt>
                <c:pt idx="2">
                  <c:v>2</c:v>
                </c:pt>
                <c:pt idx="3">
                  <c:v>53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23</c:v>
                </c:pt>
                <c:pt idx="11">
                  <c:v>1</c:v>
                </c:pt>
                <c:pt idx="1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52-4678-B429-77C6DE723605}"/>
            </c:ext>
          </c:extLst>
        </c:ser>
        <c:ser>
          <c:idx val="1"/>
          <c:order val="1"/>
          <c:tx>
            <c:v>Other Organisations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ANALYSIS!$A$4:$A$16</c:f>
              <c:strCache>
                <c:ptCount val="13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Hyku</c:v>
                </c:pt>
                <c:pt idx="9">
                  <c:v>openEQUELLA</c:v>
                </c:pt>
                <c:pt idx="10">
                  <c:v>Pure</c:v>
                </c:pt>
                <c:pt idx="11">
                  <c:v>VuFind</c:v>
                </c:pt>
                <c:pt idx="12">
                  <c:v>Worktribe</c:v>
                </c:pt>
              </c:strCache>
            </c:strRef>
          </c:cat>
          <c:val>
            <c:numRef>
              <c:f>ANALYSIS!$D$4:$D$16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52-4678-B429-77C6DE723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4274592"/>
        <c:axId val="1924279872"/>
      </c:barChart>
      <c:catAx>
        <c:axId val="19242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279872"/>
        <c:crosses val="autoZero"/>
        <c:auto val="1"/>
        <c:lblAlgn val="ctr"/>
        <c:lblOffset val="100"/>
        <c:noMultiLvlLbl val="0"/>
      </c:catAx>
      <c:valAx>
        <c:axId val="192427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2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 Systems in Use Across Regions</a:t>
            </a:r>
            <a:r>
              <a:rPr lang="en-GB" baseline="0"/>
              <a:t> of the UK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ANALYSIS!$A$81</c:f>
              <c:strCache>
                <c:ptCount val="1"/>
                <c:pt idx="0">
                  <c:v>Digital Commons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ANALYSIS!$B$81:$M$81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1-4ECD-B8F1-3497ADDCA058}"/>
            </c:ext>
          </c:extLst>
        </c:ser>
        <c:ser>
          <c:idx val="1"/>
          <c:order val="1"/>
          <c:tx>
            <c:strRef>
              <c:f>ANALYSIS!$A$82</c:f>
              <c:strCache>
                <c:ptCount val="1"/>
                <c:pt idx="0">
                  <c:v>DSpace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ANALYSIS!$B$82:$M$82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4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1-4ECD-B8F1-3497ADDCA058}"/>
            </c:ext>
          </c:extLst>
        </c:ser>
        <c:ser>
          <c:idx val="2"/>
          <c:order val="2"/>
          <c:tx>
            <c:strRef>
              <c:f>ANALYSIS!$A$83</c:f>
              <c:strCache>
                <c:ptCount val="1"/>
                <c:pt idx="0">
                  <c:v>DSpace AND Pure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ANALYSIS!$B$83:$M$83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61-4ECD-B8F1-3497ADDCA058}"/>
            </c:ext>
          </c:extLst>
        </c:ser>
        <c:ser>
          <c:idx val="3"/>
          <c:order val="3"/>
          <c:tx>
            <c:strRef>
              <c:f>ANALYSIS!$A$84</c:f>
              <c:strCache>
                <c:ptCount val="1"/>
                <c:pt idx="0">
                  <c:v>EPrints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ANALYSIS!$B$84:$M$84</c:f>
              <c:numCache>
                <c:formatCode>General</c:formatCode>
                <c:ptCount val="12"/>
                <c:pt idx="0">
                  <c:v>6</c:v>
                </c:pt>
                <c:pt idx="1">
                  <c:v>13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6</c:v>
                </c:pt>
                <c:pt idx="6">
                  <c:v>8</c:v>
                </c:pt>
                <c:pt idx="7">
                  <c:v>1</c:v>
                </c:pt>
                <c:pt idx="8">
                  <c:v>6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61-4ECD-B8F1-3497ADDCA058}"/>
            </c:ext>
          </c:extLst>
        </c:ser>
        <c:ser>
          <c:idx val="4"/>
          <c:order val="4"/>
          <c:tx>
            <c:strRef>
              <c:f>ANALYSIS!$A$85</c:f>
              <c:strCache>
                <c:ptCount val="1"/>
                <c:pt idx="0">
                  <c:v>Esploro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ANALYSIS!$B$85:$M$85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61-4ECD-B8F1-3497ADDCA058}"/>
            </c:ext>
          </c:extLst>
        </c:ser>
        <c:ser>
          <c:idx val="5"/>
          <c:order val="5"/>
          <c:tx>
            <c:strRef>
              <c:f>ANALYSIS!$A$86</c:f>
              <c:strCache>
                <c:ptCount val="1"/>
                <c:pt idx="0">
                  <c:v>Fedora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ANALYSIS!$B$86:$M$86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61-4ECD-B8F1-3497ADDCA058}"/>
            </c:ext>
          </c:extLst>
        </c:ser>
        <c:ser>
          <c:idx val="6"/>
          <c:order val="6"/>
          <c:tx>
            <c:strRef>
              <c:f>ANALYSIS!$A$87</c:f>
              <c:strCache>
                <c:ptCount val="1"/>
                <c:pt idx="0">
                  <c:v>Figshare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ANALYSIS!$B$87:$M$87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61-4ECD-B8F1-3497ADDCA058}"/>
            </c:ext>
          </c:extLst>
        </c:ser>
        <c:ser>
          <c:idx val="7"/>
          <c:order val="7"/>
          <c:tx>
            <c:strRef>
              <c:f>ANALYSIS!$A$88</c:f>
              <c:strCache>
                <c:ptCount val="1"/>
                <c:pt idx="0">
                  <c:v>Haplo (now Cayuse Repository)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ANALYSIS!$B$88:$M$88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61-4ECD-B8F1-3497ADDCA058}"/>
            </c:ext>
          </c:extLst>
        </c:ser>
        <c:ser>
          <c:idx val="8"/>
          <c:order val="8"/>
          <c:tx>
            <c:strRef>
              <c:f>ANALYSIS!$A$89</c:f>
              <c:strCache>
                <c:ptCount val="1"/>
                <c:pt idx="0">
                  <c:v>openEQUELLA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ANALYSIS!$B$89:$M$89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61-4ECD-B8F1-3497ADDCA058}"/>
            </c:ext>
          </c:extLst>
        </c:ser>
        <c:ser>
          <c:idx val="9"/>
          <c:order val="9"/>
          <c:tx>
            <c:strRef>
              <c:f>ANALYSIS!$A$90</c:f>
              <c:strCache>
                <c:ptCount val="1"/>
                <c:pt idx="0">
                  <c:v>Pure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ANALYSIS!$B$90:$M$90</c:f>
              <c:numCache>
                <c:formatCode>General</c:formatCode>
                <c:ptCount val="12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61-4ECD-B8F1-3497ADDCA058}"/>
            </c:ext>
          </c:extLst>
        </c:ser>
        <c:ser>
          <c:idx val="10"/>
          <c:order val="10"/>
          <c:tx>
            <c:strRef>
              <c:f>ANALYSIS!$A$91</c:f>
              <c:strCache>
                <c:ptCount val="1"/>
                <c:pt idx="0">
                  <c:v>VuFind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ANALYSIS!$B$91:$M$91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61-4ECD-B8F1-3497ADDCA058}"/>
            </c:ext>
          </c:extLst>
        </c:ser>
        <c:ser>
          <c:idx val="11"/>
          <c:order val="11"/>
          <c:tx>
            <c:strRef>
              <c:f>ANALYSIS!$A$92</c:f>
              <c:strCache>
                <c:ptCount val="1"/>
                <c:pt idx="0">
                  <c:v>Worktribe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ANALYSIS!$B$80:$M$80</c:f>
              <c:strCache>
                <c:ptCount val="12"/>
                <c:pt idx="0">
                  <c:v>South-East</c:v>
                </c:pt>
                <c:pt idx="1">
                  <c:v>London</c:v>
                </c:pt>
                <c:pt idx="2">
                  <c:v>South-West</c:v>
                </c:pt>
                <c:pt idx="3">
                  <c:v>East of England</c:v>
                </c:pt>
                <c:pt idx="4">
                  <c:v>East Midlands</c:v>
                </c:pt>
                <c:pt idx="5">
                  <c:v>West Midlands</c:v>
                </c:pt>
                <c:pt idx="6">
                  <c:v>Yorkshire and The Humber</c:v>
                </c:pt>
                <c:pt idx="7">
                  <c:v>North-East</c:v>
                </c:pt>
                <c:pt idx="8">
                  <c:v>North-West</c:v>
                </c:pt>
                <c:pt idx="9">
                  <c:v>Northern Ireland</c:v>
                </c:pt>
                <c:pt idx="10">
                  <c:v>Scotland</c:v>
                </c:pt>
                <c:pt idx="11">
                  <c:v>Wales</c:v>
                </c:pt>
              </c:strCache>
            </c:strRef>
          </c:cat>
          <c:val>
            <c:numRef>
              <c:f>ANALYSIS!$B$92:$M$92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B61-4ECD-B8F1-3497ADDCA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374768"/>
        <c:axId val="147359408"/>
      </c:barChart>
      <c:catAx>
        <c:axId val="14737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59408"/>
        <c:crosses val="autoZero"/>
        <c:auto val="1"/>
        <c:lblAlgn val="ctr"/>
        <c:lblOffset val="100"/>
        <c:noMultiLvlLbl val="0"/>
      </c:catAx>
      <c:valAx>
        <c:axId val="14735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74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ANALYSIS!$H$101</c:f>
              <c:strCache>
                <c:ptCount val="1"/>
                <c:pt idx="0">
                  <c:v>"Variety Score"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ANALYSIS!$G$102:$G$132</c:f>
              <c:strCache>
                <c:ptCount val="31"/>
                <c:pt idx="0">
                  <c:v>Age: 6 (2000+)</c:v>
                </c:pt>
                <c:pt idx="1">
                  <c:v>Research Intensity: Middle</c:v>
                </c:pt>
                <c:pt idx="2">
                  <c:v>Region: London</c:v>
                </c:pt>
                <c:pt idx="3">
                  <c:v>Size: Very Small</c:v>
                </c:pt>
                <c:pt idx="4">
                  <c:v>Age: 5 (1990s)</c:v>
                </c:pt>
                <c:pt idx="5">
                  <c:v>Age: 4 (1960-1991)</c:v>
                </c:pt>
                <c:pt idx="6">
                  <c:v>Size: Very Large</c:v>
                </c:pt>
                <c:pt idx="7">
                  <c:v>Institutional Groups: Russell Group</c:v>
                </c:pt>
                <c:pt idx="8">
                  <c:v>Research Intensity: Low</c:v>
                </c:pt>
                <c:pt idx="9">
                  <c:v>Research Intensity: High</c:v>
                </c:pt>
                <c:pt idx="10">
                  <c:v>Size: Low Medium</c:v>
                </c:pt>
                <c:pt idx="11">
                  <c:v>Institutional Groups: GuildHE</c:v>
                </c:pt>
                <c:pt idx="12">
                  <c:v>Size: High Medium</c:v>
                </c:pt>
                <c:pt idx="13">
                  <c:v>Region: Yorkshire and The Humber</c:v>
                </c:pt>
                <c:pt idx="14">
                  <c:v>Size: Large</c:v>
                </c:pt>
                <c:pt idx="15">
                  <c:v>Size: Small</c:v>
                </c:pt>
                <c:pt idx="16">
                  <c:v>Region: Scotland</c:v>
                </c:pt>
                <c:pt idx="17">
                  <c:v>Region: East of England</c:v>
                </c:pt>
                <c:pt idx="18">
                  <c:v>Institutional Groups: MillionPlus</c:v>
                </c:pt>
                <c:pt idx="19">
                  <c:v>Region: West Midlands</c:v>
                </c:pt>
                <c:pt idx="20">
                  <c:v>Age: 3 (1900-1959)</c:v>
                </c:pt>
                <c:pt idx="21">
                  <c:v>Region: South-East</c:v>
                </c:pt>
                <c:pt idx="22">
                  <c:v>Region: North-West</c:v>
                </c:pt>
                <c:pt idx="23">
                  <c:v>Institutional Groups: GuildHE AND MillionPlus</c:v>
                </c:pt>
                <c:pt idx="24">
                  <c:v>Region: Northern Ireland</c:v>
                </c:pt>
                <c:pt idx="25">
                  <c:v>Region: South-West</c:v>
                </c:pt>
                <c:pt idx="26">
                  <c:v>Age: 1 (Ancient)</c:v>
                </c:pt>
                <c:pt idx="27">
                  <c:v>Region: East Midlands</c:v>
                </c:pt>
                <c:pt idx="28">
                  <c:v>Age: 2 (18th/19th century)</c:v>
                </c:pt>
                <c:pt idx="29">
                  <c:v>Region: North-East</c:v>
                </c:pt>
                <c:pt idx="30">
                  <c:v>Region: Wales</c:v>
                </c:pt>
              </c:strCache>
            </c:strRef>
          </c:cat>
          <c:val>
            <c:numRef>
              <c:f>ANALYSIS!$H$102:$H$132</c:f>
              <c:numCache>
                <c:formatCode>General</c:formatCode>
                <c:ptCount val="31"/>
                <c:pt idx="0">
                  <c:v>0.16216216216216217</c:v>
                </c:pt>
                <c:pt idx="1">
                  <c:v>0.16949152542372881</c:v>
                </c:pt>
                <c:pt idx="2">
                  <c:v>0.18181818181818182</c:v>
                </c:pt>
                <c:pt idx="3">
                  <c:v>0.2</c:v>
                </c:pt>
                <c:pt idx="4">
                  <c:v>0.23529411764705882</c:v>
                </c:pt>
                <c:pt idx="5">
                  <c:v>0.24</c:v>
                </c:pt>
                <c:pt idx="6">
                  <c:v>0.25</c:v>
                </c:pt>
                <c:pt idx="7">
                  <c:v>0.25</c:v>
                </c:pt>
                <c:pt idx="8">
                  <c:v>0.26923076923076922</c:v>
                </c:pt>
                <c:pt idx="9">
                  <c:v>0.26923076923076922</c:v>
                </c:pt>
                <c:pt idx="10">
                  <c:v>0.28125</c:v>
                </c:pt>
                <c:pt idx="11">
                  <c:v>0.2857142857142857</c:v>
                </c:pt>
                <c:pt idx="12">
                  <c:v>0.3</c:v>
                </c:pt>
                <c:pt idx="13">
                  <c:v>0.3</c:v>
                </c:pt>
                <c:pt idx="14">
                  <c:v>0.3125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0.375</c:v>
                </c:pt>
                <c:pt idx="18">
                  <c:v>0.38461538461538464</c:v>
                </c:pt>
                <c:pt idx="19">
                  <c:v>0.4</c:v>
                </c:pt>
                <c:pt idx="20">
                  <c:v>0.41666666666666669</c:v>
                </c:pt>
                <c:pt idx="21">
                  <c:v>0.4375</c:v>
                </c:pt>
                <c:pt idx="22">
                  <c:v>0.45454545454545453</c:v>
                </c:pt>
                <c:pt idx="23">
                  <c:v>0.5</c:v>
                </c:pt>
                <c:pt idx="24">
                  <c:v>0.5</c:v>
                </c:pt>
                <c:pt idx="25">
                  <c:v>0.55555555555555558</c:v>
                </c:pt>
                <c:pt idx="26">
                  <c:v>0.66666666666666663</c:v>
                </c:pt>
                <c:pt idx="27">
                  <c:v>0.66666666666666663</c:v>
                </c:pt>
                <c:pt idx="28">
                  <c:v>0.75</c:v>
                </c:pt>
                <c:pt idx="29">
                  <c:v>0.75</c:v>
                </c:pt>
                <c:pt idx="3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C-4857-9481-95FE0E4C0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895072"/>
        <c:axId val="1858892192"/>
      </c:lineChart>
      <c:catAx>
        <c:axId val="185889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892192"/>
        <c:crosses val="autoZero"/>
        <c:auto val="1"/>
        <c:lblAlgn val="ctr"/>
        <c:lblOffset val="100"/>
        <c:noMultiLvlLbl val="0"/>
      </c:catAx>
      <c:valAx>
        <c:axId val="18588921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89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Commercial vs Open</a:t>
            </a:r>
            <a:r>
              <a:rPr lang="en-GB" baseline="0"/>
              <a:t> Source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Universities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ANALYSIS!$J$4:$J$5</c:f>
              <c:strCache>
                <c:ptCount val="2"/>
                <c:pt idx="0">
                  <c:v>Commercial</c:v>
                </c:pt>
                <c:pt idx="1">
                  <c:v>Open source</c:v>
                </c:pt>
              </c:strCache>
            </c:strRef>
          </c:cat>
          <c:val>
            <c:numRef>
              <c:f>ANALYSIS!$L$4:$L$5</c:f>
              <c:numCache>
                <c:formatCode>General</c:formatCode>
                <c:ptCount val="2"/>
                <c:pt idx="0">
                  <c:v>45</c:v>
                </c:pt>
                <c:pt idx="1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1-4A24-BC71-16589B059816}"/>
            </c:ext>
          </c:extLst>
        </c:ser>
        <c:ser>
          <c:idx val="1"/>
          <c:order val="1"/>
          <c:tx>
            <c:v>Other Organisations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ANALYSIS!$J$4:$J$5</c:f>
              <c:strCache>
                <c:ptCount val="2"/>
                <c:pt idx="0">
                  <c:v>Commercial</c:v>
                </c:pt>
                <c:pt idx="1">
                  <c:v>Open source</c:v>
                </c:pt>
              </c:strCache>
            </c:strRef>
          </c:cat>
          <c:val>
            <c:numRef>
              <c:f>ANALYSIS!$M$4:$M$5</c:f>
              <c:numCache>
                <c:formatCode>General</c:formatCode>
                <c:ptCount val="2"/>
                <c:pt idx="0">
                  <c:v>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D1-4A24-BC71-16589B059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6479600"/>
        <c:axId val="2036479120"/>
      </c:barChart>
      <c:catAx>
        <c:axId val="203647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479120"/>
        <c:crosses val="autoZero"/>
        <c:auto val="1"/>
        <c:lblAlgn val="ctr"/>
        <c:lblOffset val="100"/>
        <c:noMultiLvlLbl val="0"/>
      </c:catAx>
      <c:valAx>
        <c:axId val="203647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47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Universities vs</a:t>
            </a:r>
            <a:r>
              <a:rPr lang="en-GB" baseline="0"/>
              <a:t> Other Organisations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Commercial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ANALYSIS!$L$3:$M$3</c:f>
              <c:strCache>
                <c:ptCount val="2"/>
                <c:pt idx="0">
                  <c:v>Universities</c:v>
                </c:pt>
                <c:pt idx="1">
                  <c:v>Other Organisations</c:v>
                </c:pt>
              </c:strCache>
            </c:strRef>
          </c:cat>
          <c:val>
            <c:numRef>
              <c:f>ANALYSIS!$L$4:$M$4</c:f>
              <c:numCache>
                <c:formatCode>General</c:formatCode>
                <c:ptCount val="2"/>
                <c:pt idx="0">
                  <c:v>45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4-4996-AEF4-CEB8CEC23BCB}"/>
            </c:ext>
          </c:extLst>
        </c:ser>
        <c:ser>
          <c:idx val="1"/>
          <c:order val="1"/>
          <c:tx>
            <c:v>Open Source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ANALYSIS!$L$3:$M$3</c:f>
              <c:strCache>
                <c:ptCount val="2"/>
                <c:pt idx="0">
                  <c:v>Universities</c:v>
                </c:pt>
                <c:pt idx="1">
                  <c:v>Other Organisations</c:v>
                </c:pt>
              </c:strCache>
            </c:strRef>
          </c:cat>
          <c:val>
            <c:numRef>
              <c:f>ANALYSIS!$L$5:$M$5</c:f>
              <c:numCache>
                <c:formatCode>General</c:formatCode>
                <c:ptCount val="2"/>
                <c:pt idx="0">
                  <c:v>75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C4-4996-AEF4-CEB8CEC23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5546783"/>
        <c:axId val="1695545823"/>
      </c:barChart>
      <c:catAx>
        <c:axId val="1695546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545823"/>
        <c:crosses val="autoZero"/>
        <c:auto val="0"/>
        <c:lblAlgn val="ctr"/>
        <c:lblOffset val="100"/>
        <c:noMultiLvlLbl val="0"/>
      </c:catAx>
      <c:valAx>
        <c:axId val="1695545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546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Data Repository Scenarios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Universities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ANALYSIS!$A$26:$A$29</c:f>
              <c:strCache>
                <c:ptCount val="4"/>
                <c:pt idx="0">
                  <c:v>No data repository listed</c:v>
                </c:pt>
                <c:pt idx="1">
                  <c:v>No - Uses same repository</c:v>
                </c:pt>
                <c:pt idx="2">
                  <c:v>Yes - Different software</c:v>
                </c:pt>
                <c:pt idx="3">
                  <c:v>Yes - Same software</c:v>
                </c:pt>
              </c:strCache>
            </c:strRef>
          </c:cat>
          <c:val>
            <c:numRef>
              <c:f>ANALYSIS!$C$26:$C$29</c:f>
              <c:numCache>
                <c:formatCode>General</c:formatCode>
                <c:ptCount val="4"/>
                <c:pt idx="0">
                  <c:v>55</c:v>
                </c:pt>
                <c:pt idx="1">
                  <c:v>22</c:v>
                </c:pt>
                <c:pt idx="2">
                  <c:v>26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C-43AE-BDF0-C60EFC320CA1}"/>
            </c:ext>
          </c:extLst>
        </c:ser>
        <c:ser>
          <c:idx val="1"/>
          <c:order val="1"/>
          <c:tx>
            <c:v>Other Organisations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ANALYSIS!$A$26:$A$29</c:f>
              <c:strCache>
                <c:ptCount val="4"/>
                <c:pt idx="0">
                  <c:v>No data repository listed</c:v>
                </c:pt>
                <c:pt idx="1">
                  <c:v>No - Uses same repository</c:v>
                </c:pt>
                <c:pt idx="2">
                  <c:v>Yes - Different software</c:v>
                </c:pt>
                <c:pt idx="3">
                  <c:v>Yes - Same software</c:v>
                </c:pt>
              </c:strCache>
            </c:strRef>
          </c:cat>
          <c:val>
            <c:numRef>
              <c:f>ANALYSIS!$D$26:$D$29</c:f>
              <c:numCache>
                <c:formatCode>General</c:formatCode>
                <c:ptCount val="4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C-43AE-BDF0-C60EFC320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9560784"/>
        <c:axId val="1769563184"/>
      </c:barChart>
      <c:catAx>
        <c:axId val="176956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563184"/>
        <c:crosses val="autoZero"/>
        <c:auto val="1"/>
        <c:lblAlgn val="ctr"/>
        <c:lblOffset val="100"/>
        <c:noMultiLvlLbl val="0"/>
      </c:catAx>
      <c:valAx>
        <c:axId val="176956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56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 Software vs Data Repository Scenario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ANALYSIS!$Q$25</c:f>
              <c:strCache>
                <c:ptCount val="1"/>
                <c:pt idx="0">
                  <c:v>Single Repository Used for Data and Non-Data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ANALYSIS!$P$25:$P$34</c15:sqref>
                  </c15:fullRef>
                </c:ext>
              </c:extLst>
              <c:f>ANALYSIS!$P$26:$P$34</c:f>
              <c:strCache>
                <c:ptCount val="9"/>
                <c:pt idx="0">
                  <c:v>DSpace</c:v>
                </c:pt>
                <c:pt idx="1">
                  <c:v>EPrints</c:v>
                </c:pt>
                <c:pt idx="2">
                  <c:v>Fedora</c:v>
                </c:pt>
                <c:pt idx="3">
                  <c:v>Figshare</c:v>
                </c:pt>
                <c:pt idx="4">
                  <c:v>Haplo (now Cayuse Repository)</c:v>
                </c:pt>
                <c:pt idx="5">
                  <c:v>openEQUELLA</c:v>
                </c:pt>
                <c:pt idx="6">
                  <c:v>Pure</c:v>
                </c:pt>
                <c:pt idx="7">
                  <c:v>VuFind</c:v>
                </c:pt>
                <c:pt idx="8">
                  <c:v>Worktribe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ANALYSIS!$Q$25:$Q$34</c15:sqref>
                  </c15:fullRef>
                </c:ext>
              </c:extLst>
              <c:f>ANALYSIS!$Q$26:$Q$34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1</c:v>
                </c:pt>
                <c:pt idx="6">
                  <c:v>6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906-4C29-B036-DAE8656F901E}"/>
            </c:ext>
          </c:extLst>
        </c:ser>
        <c:ser>
          <c:idx val="1"/>
          <c:order val="1"/>
          <c:tx>
            <c:strRef>
              <c:f>ANALYSIS!$R$25</c:f>
              <c:strCache>
                <c:ptCount val="1"/>
                <c:pt idx="0">
                  <c:v>Separate Repository, Same Software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ANALYSIS!$P$25:$P$34</c15:sqref>
                  </c15:fullRef>
                </c:ext>
              </c:extLst>
              <c:f>ANALYSIS!$P$26:$P$34</c:f>
              <c:strCache>
                <c:ptCount val="9"/>
                <c:pt idx="0">
                  <c:v>DSpace</c:v>
                </c:pt>
                <c:pt idx="1">
                  <c:v>EPrints</c:v>
                </c:pt>
                <c:pt idx="2">
                  <c:v>Fedora</c:v>
                </c:pt>
                <c:pt idx="3">
                  <c:v>Figshare</c:v>
                </c:pt>
                <c:pt idx="4">
                  <c:v>Haplo (now Cayuse Repository)</c:v>
                </c:pt>
                <c:pt idx="5">
                  <c:v>openEQUELLA</c:v>
                </c:pt>
                <c:pt idx="6">
                  <c:v>Pure</c:v>
                </c:pt>
                <c:pt idx="7">
                  <c:v>VuFind</c:v>
                </c:pt>
                <c:pt idx="8">
                  <c:v>Worktribe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ANALYSIS!$R$25:$R$34</c15:sqref>
                  </c15:fullRef>
                </c:ext>
              </c:extLst>
              <c:f>ANALYSIS!$R$26:$R$34</c:f>
              <c:numCache>
                <c:formatCode>General</c:formatCode>
                <c:ptCount val="9"/>
                <c:pt idx="0">
                  <c:v>3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906-4C29-B036-DAE8656F901E}"/>
            </c:ext>
          </c:extLst>
        </c:ser>
        <c:ser>
          <c:idx val="2"/>
          <c:order val="2"/>
          <c:tx>
            <c:strRef>
              <c:f>ANALYSIS!$S$25</c:f>
              <c:strCache>
                <c:ptCount val="1"/>
                <c:pt idx="0">
                  <c:v>Separate Repository, Different Software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ANALYSIS!$P$25:$P$34</c15:sqref>
                  </c15:fullRef>
                </c:ext>
              </c:extLst>
              <c:f>ANALYSIS!$P$26:$P$34</c:f>
              <c:strCache>
                <c:ptCount val="9"/>
                <c:pt idx="0">
                  <c:v>DSpace</c:v>
                </c:pt>
                <c:pt idx="1">
                  <c:v>EPrints</c:v>
                </c:pt>
                <c:pt idx="2">
                  <c:v>Fedora</c:v>
                </c:pt>
                <c:pt idx="3">
                  <c:v>Figshare</c:v>
                </c:pt>
                <c:pt idx="4">
                  <c:v>Haplo (now Cayuse Repository)</c:v>
                </c:pt>
                <c:pt idx="5">
                  <c:v>openEQUELLA</c:v>
                </c:pt>
                <c:pt idx="6">
                  <c:v>Pure</c:v>
                </c:pt>
                <c:pt idx="7">
                  <c:v>VuFind</c:v>
                </c:pt>
                <c:pt idx="8">
                  <c:v>Worktribe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ANALYSIS!$S$25:$S$34</c15:sqref>
                  </c15:fullRef>
                </c:ext>
              </c:extLst>
              <c:f>ANALYSIS!$S$26:$S$34</c:f>
              <c:numCache>
                <c:formatCode>General</c:formatCode>
                <c:ptCount val="9"/>
                <c:pt idx="0">
                  <c:v>3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5</c:v>
                </c:pt>
                <c:pt idx="7">
                  <c:v>1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906-4C29-B036-DAE8656F90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92297200"/>
        <c:axId val="1792294320"/>
      </c:barChart>
      <c:catAx>
        <c:axId val="179229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(Non-Data Repository Software)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294320"/>
        <c:crosses val="autoZero"/>
        <c:auto val="1"/>
        <c:lblAlgn val="ctr"/>
        <c:lblOffset val="100"/>
        <c:noMultiLvlLbl val="0"/>
      </c:catAx>
      <c:valAx>
        <c:axId val="179229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229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 Systems by Size of Institution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ANALYSIS!$B$38</c:f>
              <c:strCache>
                <c:ptCount val="1"/>
                <c:pt idx="0">
                  <c:v>#Instances (Very Small i.e. &lt; 5,000)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ANALYSIS!$B$39:$B$50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6B-4547-8B84-134BD86CC95B}"/>
            </c:ext>
          </c:extLst>
        </c:ser>
        <c:ser>
          <c:idx val="1"/>
          <c:order val="1"/>
          <c:tx>
            <c:strRef>
              <c:f>ANALYSIS!$C$38</c:f>
              <c:strCache>
                <c:ptCount val="1"/>
                <c:pt idx="0">
                  <c:v>#Instances (Small i.e. 5,000 - 9,999)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ANALYSIS!$C$39:$C$50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6B-4547-8B84-134BD86CC95B}"/>
            </c:ext>
          </c:extLst>
        </c:ser>
        <c:ser>
          <c:idx val="2"/>
          <c:order val="2"/>
          <c:tx>
            <c:strRef>
              <c:f>ANALYSIS!$D$38</c:f>
              <c:strCache>
                <c:ptCount val="1"/>
                <c:pt idx="0">
                  <c:v>#Instances (Low Medium i.e. 10,000 - 14,999)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ANALYSIS!$D$39:$D$50</c:f>
              <c:numCache>
                <c:formatCode>General</c:formatCode>
                <c:ptCount val="12"/>
                <c:pt idx="0">
                  <c:v>0</c:v>
                </c:pt>
                <c:pt idx="1">
                  <c:v>8</c:v>
                </c:pt>
                <c:pt idx="2">
                  <c:v>1</c:v>
                </c:pt>
                <c:pt idx="3">
                  <c:v>9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4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6B-4547-8B84-134BD86CC95B}"/>
            </c:ext>
          </c:extLst>
        </c:ser>
        <c:ser>
          <c:idx val="3"/>
          <c:order val="3"/>
          <c:tx>
            <c:strRef>
              <c:f>ANALYSIS!$E$38</c:f>
              <c:strCache>
                <c:ptCount val="1"/>
                <c:pt idx="0">
                  <c:v>#Instances (High Medium i.e. 15,000 - 19,999)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ANALYSIS!$E$39:$E$50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5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6B-4547-8B84-134BD86CC95B}"/>
            </c:ext>
          </c:extLst>
        </c:ser>
        <c:ser>
          <c:idx val="4"/>
          <c:order val="4"/>
          <c:tx>
            <c:strRef>
              <c:f>ANALYSIS!$F$38</c:f>
              <c:strCache>
                <c:ptCount val="1"/>
                <c:pt idx="0">
                  <c:v>#Instances (Large i.e. 20,000 - 24,999)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ANALYSIS!$F$39:$F$50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6B-4547-8B84-134BD86CC95B}"/>
            </c:ext>
          </c:extLst>
        </c:ser>
        <c:ser>
          <c:idx val="5"/>
          <c:order val="5"/>
          <c:tx>
            <c:strRef>
              <c:f>ANALYSIS!$G$38</c:f>
              <c:strCache>
                <c:ptCount val="1"/>
                <c:pt idx="0">
                  <c:v>#Instances (Very Large i.e. &gt; 24,999)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ANALYSIS!$A$39:$A$50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ANALYSIS!$G$39:$G$50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6B-4547-8B84-134BD86CC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370448"/>
        <c:axId val="147374288"/>
      </c:barChart>
      <c:catAx>
        <c:axId val="14737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74288"/>
        <c:crosses val="autoZero"/>
        <c:auto val="1"/>
        <c:lblAlgn val="ctr"/>
        <c:lblOffset val="100"/>
        <c:noMultiLvlLbl val="0"/>
      </c:catAx>
      <c:valAx>
        <c:axId val="14737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7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</a:t>
            </a:r>
            <a:r>
              <a:rPr lang="en-GB" baseline="0"/>
              <a:t> Systems by "Research Intensity"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ANALYSIS!$J$38</c:f>
              <c:strCache>
                <c:ptCount val="1"/>
                <c:pt idx="0">
                  <c:v>#Instances (Low i.e. &lt; 0.34)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ANALYSIS!$I$39:$I$50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ANALYSIS!$J$39:$J$50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11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5-4867-87E7-6F69BF94C9F8}"/>
            </c:ext>
          </c:extLst>
        </c:ser>
        <c:ser>
          <c:idx val="1"/>
          <c:order val="1"/>
          <c:tx>
            <c:strRef>
              <c:f>ANALYSIS!$K$38</c:f>
              <c:strCache>
                <c:ptCount val="1"/>
                <c:pt idx="0">
                  <c:v>#Instances (Middle i.e. 0.34 - 0.66)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ANALYSIS!$I$39:$I$50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ANALYSIS!$K$39:$K$50</c:f>
              <c:numCache>
                <c:formatCode>General</c:formatCode>
                <c:ptCount val="12"/>
                <c:pt idx="0">
                  <c:v>1</c:v>
                </c:pt>
                <c:pt idx="1">
                  <c:v>7</c:v>
                </c:pt>
                <c:pt idx="2">
                  <c:v>0</c:v>
                </c:pt>
                <c:pt idx="3">
                  <c:v>32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10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55-4867-87E7-6F69BF94C9F8}"/>
            </c:ext>
          </c:extLst>
        </c:ser>
        <c:ser>
          <c:idx val="2"/>
          <c:order val="2"/>
          <c:tx>
            <c:strRef>
              <c:f>ANALYSIS!$L$38</c:f>
              <c:strCache>
                <c:ptCount val="1"/>
                <c:pt idx="0">
                  <c:v>#Instances (High i.e. &gt; 0.67)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ANALYSIS!$I$39:$I$50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ANALYSIS!$L$39:$L$50</c:f>
              <c:numCache>
                <c:formatCode>General</c:formatCode>
                <c:ptCount val="12"/>
                <c:pt idx="0">
                  <c:v>0</c:v>
                </c:pt>
                <c:pt idx="1">
                  <c:v>7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7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5-4867-87E7-6F69BF94C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1420864"/>
        <c:axId val="1861416544"/>
      </c:barChart>
      <c:catAx>
        <c:axId val="186142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416544"/>
        <c:crosses val="autoZero"/>
        <c:auto val="1"/>
        <c:lblAlgn val="ctr"/>
        <c:lblOffset val="100"/>
        <c:noMultiLvlLbl val="0"/>
      </c:catAx>
      <c:valAx>
        <c:axId val="186141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42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</a:t>
            </a:r>
            <a:r>
              <a:rPr lang="en-GB" baseline="0"/>
              <a:t> System</a:t>
            </a:r>
            <a:r>
              <a:rPr lang="en-GB"/>
              <a:t>s by "Age" of Institution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ANALYSIS!$B$59</c:f>
              <c:strCache>
                <c:ptCount val="1"/>
                <c:pt idx="0">
                  <c:v>1 (Ancient)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ANALYSIS!$B$60:$B$71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0-4CA6-8C08-942EE5435F8F}"/>
            </c:ext>
          </c:extLst>
        </c:ser>
        <c:ser>
          <c:idx val="1"/>
          <c:order val="1"/>
          <c:tx>
            <c:strRef>
              <c:f>ANALYSIS!$C$59</c:f>
              <c:strCache>
                <c:ptCount val="1"/>
                <c:pt idx="0">
                  <c:v>2 (18th/19th century)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ANALYSIS!$C$60:$C$71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0-4CA6-8C08-942EE5435F8F}"/>
            </c:ext>
          </c:extLst>
        </c:ser>
        <c:ser>
          <c:idx val="2"/>
          <c:order val="2"/>
          <c:tx>
            <c:strRef>
              <c:f>ANALYSIS!$D$59</c:f>
              <c:strCache>
                <c:ptCount val="1"/>
                <c:pt idx="0">
                  <c:v>3 (1900-1959)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ANALYSIS!$D$60:$D$71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20-4CA6-8C08-942EE5435F8F}"/>
            </c:ext>
          </c:extLst>
        </c:ser>
        <c:ser>
          <c:idx val="3"/>
          <c:order val="3"/>
          <c:tx>
            <c:strRef>
              <c:f>ANALYSIS!$E$59</c:f>
              <c:strCache>
                <c:ptCount val="1"/>
                <c:pt idx="0">
                  <c:v>4 (1960-1991)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ANALYSIS!$E$60:$E$71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12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20-4CA6-8C08-942EE5435F8F}"/>
            </c:ext>
          </c:extLst>
        </c:ser>
        <c:ser>
          <c:idx val="4"/>
          <c:order val="4"/>
          <c:tx>
            <c:strRef>
              <c:f>ANALYSIS!$F$59</c:f>
              <c:strCache>
                <c:ptCount val="1"/>
                <c:pt idx="0">
                  <c:v>5 (1990s)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ANALYSIS!$F$60:$F$71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1</c:v>
                </c:pt>
                <c:pt idx="9">
                  <c:v>8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20-4CA6-8C08-942EE5435F8F}"/>
            </c:ext>
          </c:extLst>
        </c:ser>
        <c:ser>
          <c:idx val="5"/>
          <c:order val="5"/>
          <c:tx>
            <c:strRef>
              <c:f>ANALYSIS!$G$59</c:f>
              <c:strCache>
                <c:ptCount val="1"/>
                <c:pt idx="0">
                  <c:v>6 (2000+)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ANALYSIS!$A$60:$A$71</c:f>
              <c:strCache>
                <c:ptCount val="12"/>
                <c:pt idx="0">
                  <c:v>Digital Commons</c:v>
                </c:pt>
                <c:pt idx="1">
                  <c:v>DSpace</c:v>
                </c:pt>
                <c:pt idx="2">
                  <c:v>DSpace AND Pure</c:v>
                </c:pt>
                <c:pt idx="3">
                  <c:v>EPrints</c:v>
                </c:pt>
                <c:pt idx="4">
                  <c:v>Esploro</c:v>
                </c:pt>
                <c:pt idx="5">
                  <c:v>Fedora</c:v>
                </c:pt>
                <c:pt idx="6">
                  <c:v>Figshare</c:v>
                </c:pt>
                <c:pt idx="7">
                  <c:v>Haplo (now Cayuse Repository)</c:v>
                </c:pt>
                <c:pt idx="8">
                  <c:v>openEQUELLA</c:v>
                </c:pt>
                <c:pt idx="9">
                  <c:v>Pure</c:v>
                </c:pt>
                <c:pt idx="10">
                  <c:v>VuFind</c:v>
                </c:pt>
                <c:pt idx="11">
                  <c:v>Worktribe</c:v>
                </c:pt>
              </c:strCache>
            </c:strRef>
          </c:cat>
          <c:val>
            <c:numRef>
              <c:f>ANALYSIS!$G$60:$G$71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21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8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20-4CA6-8C08-942EE5435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515168"/>
        <c:axId val="143515648"/>
      </c:barChart>
      <c:catAx>
        <c:axId val="14351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5648"/>
        <c:crosses val="autoZero"/>
        <c:auto val="1"/>
        <c:lblAlgn val="ctr"/>
        <c:lblOffset val="100"/>
        <c:noMultiLvlLbl val="0"/>
      </c:catAx>
      <c:valAx>
        <c:axId val="14351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15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Repository Systems by Institutional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ANALYSIS!$I$60</c:f>
              <c:strCache>
                <c:ptCount val="1"/>
                <c:pt idx="0">
                  <c:v>Digital Commons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ANALYSIS!$J$60:$M$60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5-4708-8997-F71CE1FB9CDE}"/>
            </c:ext>
          </c:extLst>
        </c:ser>
        <c:ser>
          <c:idx val="1"/>
          <c:order val="1"/>
          <c:tx>
            <c:strRef>
              <c:f>ANALYSIS!$I$61</c:f>
              <c:strCache>
                <c:ptCount val="1"/>
                <c:pt idx="0">
                  <c:v>DSpace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ANALYSIS!$J$61:$M$61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65-4708-8997-F71CE1FB9CDE}"/>
            </c:ext>
          </c:extLst>
        </c:ser>
        <c:ser>
          <c:idx val="2"/>
          <c:order val="2"/>
          <c:tx>
            <c:strRef>
              <c:f>ANALYSIS!$I$62</c:f>
              <c:strCache>
                <c:ptCount val="1"/>
                <c:pt idx="0">
                  <c:v>DSpace AND Pure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ANALYSIS!$J$62:$M$62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65-4708-8997-F71CE1FB9CDE}"/>
            </c:ext>
          </c:extLst>
        </c:ser>
        <c:ser>
          <c:idx val="3"/>
          <c:order val="3"/>
          <c:tx>
            <c:strRef>
              <c:f>ANALYSIS!$I$63</c:f>
              <c:strCache>
                <c:ptCount val="1"/>
                <c:pt idx="0">
                  <c:v>EPrints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ANALYSIS!$J$63:$M$63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65-4708-8997-F71CE1FB9CDE}"/>
            </c:ext>
          </c:extLst>
        </c:ser>
        <c:ser>
          <c:idx val="4"/>
          <c:order val="4"/>
          <c:tx>
            <c:strRef>
              <c:f>ANALYSIS!$I$64</c:f>
              <c:strCache>
                <c:ptCount val="1"/>
                <c:pt idx="0">
                  <c:v>Esploro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ANALYSIS!$J$64:$M$64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65-4708-8997-F71CE1FB9CDE}"/>
            </c:ext>
          </c:extLst>
        </c:ser>
        <c:ser>
          <c:idx val="5"/>
          <c:order val="5"/>
          <c:tx>
            <c:strRef>
              <c:f>ANALYSIS!$I$65</c:f>
              <c:strCache>
                <c:ptCount val="1"/>
                <c:pt idx="0">
                  <c:v>Fedora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ANALYSIS!$J$65:$M$65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65-4708-8997-F71CE1FB9CDE}"/>
            </c:ext>
          </c:extLst>
        </c:ser>
        <c:ser>
          <c:idx val="6"/>
          <c:order val="6"/>
          <c:tx>
            <c:strRef>
              <c:f>ANALYSIS!$I$66</c:f>
              <c:strCache>
                <c:ptCount val="1"/>
                <c:pt idx="0">
                  <c:v>Figshare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ANALYSIS!$J$66:$M$66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65-4708-8997-F71CE1FB9CDE}"/>
            </c:ext>
          </c:extLst>
        </c:ser>
        <c:ser>
          <c:idx val="7"/>
          <c:order val="7"/>
          <c:tx>
            <c:strRef>
              <c:f>ANALYSIS!$I$67</c:f>
              <c:strCache>
                <c:ptCount val="1"/>
                <c:pt idx="0">
                  <c:v>Haplo (now Cayuse Repository)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ANALYSIS!$J$67:$M$67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65-4708-8997-F71CE1FB9CDE}"/>
            </c:ext>
          </c:extLst>
        </c:ser>
        <c:ser>
          <c:idx val="8"/>
          <c:order val="8"/>
          <c:tx>
            <c:strRef>
              <c:f>ANALYSIS!$I$68</c:f>
              <c:strCache>
                <c:ptCount val="1"/>
                <c:pt idx="0">
                  <c:v>openEQUELLA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ANALYSIS!$J$68:$M$68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65-4708-8997-F71CE1FB9CDE}"/>
            </c:ext>
          </c:extLst>
        </c:ser>
        <c:ser>
          <c:idx val="9"/>
          <c:order val="9"/>
          <c:tx>
            <c:strRef>
              <c:f>ANALYSIS!$I$69</c:f>
              <c:strCache>
                <c:ptCount val="1"/>
                <c:pt idx="0">
                  <c:v>Pure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ANALYSIS!$J$69:$M$69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65-4708-8997-F71CE1FB9CDE}"/>
            </c:ext>
          </c:extLst>
        </c:ser>
        <c:ser>
          <c:idx val="10"/>
          <c:order val="10"/>
          <c:tx>
            <c:strRef>
              <c:f>ANALYSIS!$I$70</c:f>
              <c:strCache>
                <c:ptCount val="1"/>
                <c:pt idx="0">
                  <c:v>VuFind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ANALYSIS!$J$70:$M$70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65-4708-8997-F71CE1FB9CDE}"/>
            </c:ext>
          </c:extLst>
        </c:ser>
        <c:ser>
          <c:idx val="11"/>
          <c:order val="11"/>
          <c:tx>
            <c:strRef>
              <c:f>ANALYSIS!$I$71</c:f>
              <c:strCache>
                <c:ptCount val="1"/>
                <c:pt idx="0">
                  <c:v>Worktribe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ANALYSIS!$J$59:$M$59</c:f>
              <c:strCache>
                <c:ptCount val="4"/>
                <c:pt idx="0">
                  <c:v>GuildHE</c:v>
                </c:pt>
                <c:pt idx="1">
                  <c:v>GuildHE AND MillionPlus</c:v>
                </c:pt>
                <c:pt idx="2">
                  <c:v>MillionPlus</c:v>
                </c:pt>
                <c:pt idx="3">
                  <c:v>Russell Group</c:v>
                </c:pt>
              </c:strCache>
            </c:strRef>
          </c:cat>
          <c:val>
            <c:numRef>
              <c:f>ANALYSIS!$J$71:$M$71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965-4708-8997-F71CE1FB9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5940848"/>
        <c:axId val="815941328"/>
      </c:barChart>
      <c:catAx>
        <c:axId val="81594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941328"/>
        <c:crosses val="autoZero"/>
        <c:auto val="1"/>
        <c:lblAlgn val="ctr"/>
        <c:lblOffset val="100"/>
        <c:noMultiLvlLbl val="0"/>
      </c:catAx>
      <c:valAx>
        <c:axId val="8159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94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</xdr:row>
      <xdr:rowOff>109537</xdr:rowOff>
    </xdr:from>
    <xdr:to>
      <xdr:col>17</xdr:col>
      <xdr:colOff>600076</xdr:colOff>
      <xdr:row>27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34DC15-D93F-0C63-9BE3-D9F5EBD3D1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32</xdr:row>
      <xdr:rowOff>80962</xdr:rowOff>
    </xdr:from>
    <xdr:to>
      <xdr:col>6</xdr:col>
      <xdr:colOff>523875</xdr:colOff>
      <xdr:row>49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9C8094-98A7-0D2F-7FC7-A3AE6B6C8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381000</xdr:colOff>
      <xdr:row>32</xdr:row>
      <xdr:rowOff>80962</xdr:rowOff>
    </xdr:from>
    <xdr:to>
      <xdr:col>13</xdr:col>
      <xdr:colOff>514350</xdr:colOff>
      <xdr:row>49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27E548-10A9-8490-A9CD-E229BA62C6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276225</xdr:colOff>
      <xdr:row>54</xdr:row>
      <xdr:rowOff>14287</xdr:rowOff>
    </xdr:from>
    <xdr:to>
      <xdr:col>7</xdr:col>
      <xdr:colOff>581025</xdr:colOff>
      <xdr:row>71</xdr:row>
      <xdr:rowOff>4762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4F1512-60FA-C2E3-7513-D5B3C40D1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114300</xdr:colOff>
      <xdr:row>54</xdr:row>
      <xdr:rowOff>14287</xdr:rowOff>
    </xdr:from>
    <xdr:to>
      <xdr:col>23</xdr:col>
      <xdr:colOff>152400</xdr:colOff>
      <xdr:row>71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F7E856D-AB9A-7E47-1A7F-F0FA9C9B5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161925</xdr:colOff>
      <xdr:row>76</xdr:row>
      <xdr:rowOff>4761</xdr:rowOff>
    </xdr:from>
    <xdr:to>
      <xdr:col>14</xdr:col>
      <xdr:colOff>323851</xdr:colOff>
      <xdr:row>103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909AE77-586A-7FF7-4929-7B271C30FE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200025</xdr:colOff>
      <xdr:row>75</xdr:row>
      <xdr:rowOff>157161</xdr:rowOff>
    </xdr:from>
    <xdr:to>
      <xdr:col>31</xdr:col>
      <xdr:colOff>142875</xdr:colOff>
      <xdr:row>103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F7ECACA-B2EE-81A2-A40A-04A9EC1C12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180974</xdr:colOff>
      <xdr:row>108</xdr:row>
      <xdr:rowOff>14286</xdr:rowOff>
    </xdr:from>
    <xdr:to>
      <xdr:col>14</xdr:col>
      <xdr:colOff>361949</xdr:colOff>
      <xdr:row>136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AF88C12-3F3D-3B80-7129-1A5DF6C64C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352424</xdr:colOff>
      <xdr:row>109</xdr:row>
      <xdr:rowOff>109537</xdr:rowOff>
    </xdr:from>
    <xdr:to>
      <xdr:col>26</xdr:col>
      <xdr:colOff>419099</xdr:colOff>
      <xdr:row>126</xdr:row>
      <xdr:rowOff>100012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6FD037D-17EB-92A2-92A3-374F01016B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190499</xdr:colOff>
      <xdr:row>140</xdr:row>
      <xdr:rowOff>147636</xdr:rowOff>
    </xdr:from>
    <xdr:to>
      <xdr:col>23</xdr:col>
      <xdr:colOff>438150</xdr:colOff>
      <xdr:row>168</xdr:row>
      <xdr:rowOff>76199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5D3823-7E2C-C271-54E7-F9610B1F78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180975</xdr:colOff>
      <xdr:row>172</xdr:row>
      <xdr:rowOff>157161</xdr:rowOff>
    </xdr:from>
    <xdr:to>
      <xdr:col>18</xdr:col>
      <xdr:colOff>219075</xdr:colOff>
      <xdr:row>202</xdr:row>
      <xdr:rowOff>47624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DEA0FF0-137C-9040-994C-BA065A2862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BC5A88-895E-4787-BBCF-98A30C22F88F}" name="RevisedData" displayName="RevisedData" ref="A1:R133" totalsRowShown="0" headerRowDxfId="117" dataDxfId="116">
  <autoFilter ref="A1:R133" xr:uid="{15BC5A88-895E-4787-BBCF-98A30C22F88F}"/>
  <sortState xmlns:xlrd2="http://schemas.microsoft.com/office/spreadsheetml/2017/richdata2" ref="A2:R133">
    <sortCondition ref="A1:A133"/>
  </sortState>
  <tableColumns count="18">
    <tableColumn id="1" xr3:uid="{7B2B6B3D-2B7B-4560-99D2-9BB9F7A726D3}" name="Institution" dataDxfId="115"/>
    <tableColumn id="14" xr3:uid="{88278210-C989-46A2-9F47-9D096E077310}" name="Type" dataDxfId="114"/>
    <tableColumn id="2" xr3:uid="{DFE32686-0390-4C3D-9043-51A6A3717070}" name="No. of FTE Students (https://www.timeshighereducation.com/world-university-rankings/latest/world-ranking#!/length/25/locations/GBR/sort_by/scores_citations/sort_order/asc/cols/scores)" dataDxfId="113"/>
    <tableColumn id="3" xr3:uid="{023B4963-20DA-4D25-BCA2-039AF484AA3D}" name="Size Category" dataDxfId="112"/>
    <tableColumn id="4" xr3:uid="{C436A806-6157-41C7-8880-F05AD320495B}" name="Research Intensity (https://www.thecompleteuniversityguide.co.uk/league-tables/rankings?tabletype=full-table)" dataDxfId="111"/>
    <tableColumn id="16" xr3:uid="{0E843AB7-2E12-44BD-B627-68EFC838F8D5}" name="Research Intensity Category" dataDxfId="110"/>
    <tableColumn id="5" xr3:uid="{F22288F8-CA9A-4669-88BC-0EF71C4EAB6D}" name="Region (https://www.ucas.com/explore/search/providers)" dataDxfId="109"/>
    <tableColumn id="17" xr3:uid="{5388E38C-84D8-4135-8ECC-F6301641E172}" name="Year Granted University Status (https://www.officeforstudents.org.uk/for-providers/regulatory-resources/the-ofs-register/#/ OR Wikipedia)" dataDxfId="108"/>
    <tableColumn id="18" xr3:uid="{BE963E82-8A79-4CDE-A1DE-BDAB958CFA9B}" name="If Not University Status, Year Granted Degree-Awarding Powers (https://www.officeforstudents.org.uk/for-providers/regulatory-resources/the-ofs-register/#/)" dataDxfId="107"/>
    <tableColumn id="6" xr3:uid="{184F6D8C-CFB9-492E-ADD6-F78DE9F499F7}" name="Age Group (Year of University Status OR Degree-Awarding Powers)" dataDxfId="106"/>
    <tableColumn id="15" xr3:uid="{5FDC9D01-DD3A-4005-B35A-B90F7EBB94BA}" name="Member Groups" dataDxfId="105"/>
    <tableColumn id="7" xr3:uid="{21D91C8E-5FE3-4E98-B3F5-1124829A254D}" name="CRIS Software" dataDxfId="104"/>
    <tableColumn id="8" xr3:uid="{63217ADD-6838-48D0-B78D-02D4800EDF77}" name="Repository Software" dataDxfId="103"/>
    <tableColumn id="9" xr3:uid="{B52362D9-39EC-45A1-A547-0A687A24E829}" name="Repository URL" dataDxfId="102"/>
    <tableColumn id="10" xr3:uid="{B8A369AE-BF07-40CA-B107-C76F20657907}" name="Separate Data Repository?" dataDxfId="101">
      <calculatedColumnFormula>IF(RevisedData[[#This Row],[Repository URL]]=RevisedData[[#This Row],[Data Repository URL]],"SAME URL","DIFFERENT VALUES")</calculatedColumnFormula>
    </tableColumn>
    <tableColumn id="11" xr3:uid="{39C55C93-40FA-461B-ABA4-307CB1C9E61C}" name="Data Repository Software" dataDxfId="100"/>
    <tableColumn id="13" xr3:uid="{DD2994ED-8560-4BCD-831C-5597619829A1}" name="Data Repository URL" dataDxfId="99"/>
    <tableColumn id="12" xr3:uid="{7F57CE27-7C2C-4CA3-A2CD-41BF65FFA9CE}" name="Last Updated" dataDxfId="98"/>
  </tableColumns>
  <tableStyleInfo name="TableStyleDark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D3884D8-65EE-400C-B4E9-28C6D964DBE5}" name="Table8" displayName="Table8" ref="A38:G50" totalsRowShown="0" headerRowDxfId="61" dataDxfId="60">
  <autoFilter ref="A38:G50" xr:uid="{CD3884D8-65EE-400C-B4E9-28C6D964DBE5}"/>
  <tableColumns count="7">
    <tableColumn id="1" xr3:uid="{CBE0816A-A729-4F21-A9C6-43C7539E25BE}" name="Repository System" dataDxfId="59"/>
    <tableColumn id="2" xr3:uid="{43E99711-147A-486E-854B-79018C1D07A0}" name="#Instances (Very Small i.e. &lt; 5,000)" dataDxfId="58"/>
    <tableColumn id="3" xr3:uid="{67C08AB6-E53E-4D86-B808-72CC7F6C2163}" name="#Instances (Small i.e. 5,000 - 9,999)" dataDxfId="57"/>
    <tableColumn id="4" xr3:uid="{1F4AE20F-9344-42AD-891A-077EF9E6DE26}" name="#Instances (Low Medium i.e. 10,000 - 14,999)" dataDxfId="56"/>
    <tableColumn id="5" xr3:uid="{BAA7AAF2-2EE8-4D7E-A59E-C15C67DB486E}" name="#Instances (High Medium i.e. 15,000 - 19,999)" dataDxfId="55"/>
    <tableColumn id="6" xr3:uid="{A97B7621-CA8F-4365-A58E-3670E72C0264}" name="#Instances (Large i.e. 20,000 - 24,999)" dataDxfId="54"/>
    <tableColumn id="7" xr3:uid="{EF8ACED8-543A-4330-AAE1-D1837403F725}" name="#Instances (Very Large i.e. &gt; 24,999)" dataDxfId="53"/>
  </tableColumns>
  <tableStyleInfo name="TableStyleMedium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9DDCBD2-45FE-419D-B64F-CF8B8E62CFB9}" name="Table9" displayName="Table9" ref="I38:L50" totalsRowShown="0" headerRowDxfId="52" dataDxfId="51">
  <autoFilter ref="I38:L50" xr:uid="{19DDCBD2-45FE-419D-B64F-CF8B8E62CFB9}"/>
  <tableColumns count="4">
    <tableColumn id="1" xr3:uid="{12200BBA-3DA9-4C3E-A636-39DD19CB0FB6}" name="Repository System" dataDxfId="50"/>
    <tableColumn id="2" xr3:uid="{36E26F6A-F73E-4A72-9444-DA02B3F5BF70}" name="#Instances (Low i.e. &lt; 0.34)" dataDxfId="49"/>
    <tableColumn id="3" xr3:uid="{6C785FF4-CD40-454B-B7CC-58EE7B250CCC}" name="#Instances (Middle i.e. 0.34 - 0.66)" dataDxfId="48"/>
    <tableColumn id="4" xr3:uid="{B2E40F84-3CA1-4995-94DD-A382BFE53D9A}" name="#Instances (High i.e. &gt; 0.67)" dataDxfId="47"/>
  </tableColumns>
  <tableStyleInfo name="TableStyleMedium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8761D61-A934-48C0-9F53-57874FD6B48E}" name="Table10" displayName="Table10" ref="A59:G71" totalsRowShown="0" headerRowDxfId="46" dataDxfId="45">
  <autoFilter ref="A59:G71" xr:uid="{28761D61-A934-48C0-9F53-57874FD6B48E}"/>
  <tableColumns count="7">
    <tableColumn id="1" xr3:uid="{C543F703-F78B-46AB-8DC5-F8D967C3F971}" name="Repository System" dataDxfId="44"/>
    <tableColumn id="2" xr3:uid="{A1160C8E-2918-48F7-9D50-373DA9E8FDFD}" name="1 (Ancient)" dataDxfId="43"/>
    <tableColumn id="3" xr3:uid="{F5A4B79B-0128-45FA-AF0F-718B21AF290C}" name="2 (18th/19th century)" dataDxfId="42"/>
    <tableColumn id="4" xr3:uid="{136A8CB5-6D2B-4B9A-A210-946DAD89C846}" name="3 (1900-1959)" dataDxfId="41"/>
    <tableColumn id="5" xr3:uid="{AAA07330-8A2C-4328-AC27-9A932C9FC3E6}" name="4 (1960-1991)" dataDxfId="40"/>
    <tableColumn id="6" xr3:uid="{1DD7A548-0C8E-4836-ABF0-F40C6E3397E5}" name="5 (1990s)" dataDxfId="39"/>
    <tableColumn id="7" xr3:uid="{8E2F2E4D-7742-46A5-93B4-6065DED7F487}" name="6 (2000+)" dataDxfId="38"/>
  </tableColumns>
  <tableStyleInfo name="TableStyleMedium3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C2C51ED-70E8-4857-AC74-F98EB394D951}" name="Table11" displayName="Table11" ref="I59:M71" totalsRowShown="0" headerRowDxfId="37" dataDxfId="36">
  <autoFilter ref="I59:M71" xr:uid="{AC2C51ED-70E8-4857-AC74-F98EB394D951}"/>
  <tableColumns count="5">
    <tableColumn id="1" xr3:uid="{91F690ED-F34E-43AE-8CB5-99139A627CB6}" name="Repository System" dataDxfId="35"/>
    <tableColumn id="2" xr3:uid="{BAAD5988-8629-4914-9EDF-140D35A66681}" name="GuildHE" dataDxfId="34"/>
    <tableColumn id="3" xr3:uid="{270DC06E-A26F-49E0-A46B-7792442F93AE}" name="GuildHE AND MillionPlus" dataDxfId="33"/>
    <tableColumn id="4" xr3:uid="{AEC87449-2BE9-460F-8FFC-38BE656846B2}" name="MillionPlus" dataDxfId="32"/>
    <tableColumn id="5" xr3:uid="{A92BD467-8951-45A0-998D-01099B313E01}" name="Russell Group" dataDxfId="31"/>
  </tableColumns>
  <tableStyleInfo name="TableStyleMedium3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2F35B5A-835B-488E-BFA2-97F09A5DA69B}" name="Table12" displayName="Table12" ref="A80:M92" totalsRowShown="0" headerRowDxfId="30" dataDxfId="29">
  <autoFilter ref="A80:M92" xr:uid="{12F35B5A-835B-488E-BFA2-97F09A5DA69B}"/>
  <tableColumns count="13">
    <tableColumn id="1" xr3:uid="{279DB91C-B3B5-4EF3-BEC0-3990385C2790}" name="Repository System" dataDxfId="28"/>
    <tableColumn id="2" xr3:uid="{2B96E3EE-1079-4598-A5A9-0D0FB42314AD}" name="South-East" dataDxfId="27"/>
    <tableColumn id="3" xr3:uid="{6DC03F74-D0FE-4BB1-B2D8-CB71CE12A3CC}" name="London" dataDxfId="26"/>
    <tableColumn id="4" xr3:uid="{12FCA8E4-76F3-4C3F-9034-76957494FFC3}" name="South-West" dataDxfId="25"/>
    <tableColumn id="5" xr3:uid="{55FC072C-8261-4A52-AF24-1FDFCBC33419}" name="East of England" dataDxfId="24"/>
    <tableColumn id="6" xr3:uid="{59814EC4-FB6B-495C-B196-B83450BD1CBD}" name="East Midlands" dataDxfId="23"/>
    <tableColumn id="7" xr3:uid="{1C52CCC7-F5DE-4841-8D62-8B363AE31915}" name="West Midlands" dataDxfId="22"/>
    <tableColumn id="8" xr3:uid="{C132C3F2-3E6D-4B47-A8F0-98D1280F17DB}" name="Yorkshire and The Humber" dataDxfId="21"/>
    <tableColumn id="9" xr3:uid="{C7258738-D8DB-4476-8C7C-3FC57D9662FE}" name="North-East" dataDxfId="20"/>
    <tableColumn id="10" xr3:uid="{0C790862-9180-4E9E-9B56-AF456E6812BD}" name="North-West" dataDxfId="19"/>
    <tableColumn id="11" xr3:uid="{CBF6710A-9627-49AE-8C3E-5FAD9A5E5764}" name="Northern Ireland" dataDxfId="18"/>
    <tableColumn id="12" xr3:uid="{BD96EDC1-6D72-4608-BB58-912C1846BCEA}" name="Scotland" dataDxfId="17"/>
    <tableColumn id="13" xr3:uid="{7E30ED82-FA86-459C-B28C-1B6C9308C7FB}" name="Wales" dataDxfId="16"/>
  </tableColumns>
  <tableStyleInfo name="TableStyleMedium3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80B39EF-A101-4AAA-9109-6B400ADB034E}" name="Table13" displayName="Table13" ref="A101:E132" totalsRowShown="0" headerRowDxfId="15" dataDxfId="14">
  <autoFilter ref="A101:E132" xr:uid="{380B39EF-A101-4AAA-9109-6B400ADB034E}"/>
  <tableColumns count="5">
    <tableColumn id="1" xr3:uid="{95CFC26A-CE39-4C46-993C-28F760B8732E}" name="Category Type" dataDxfId="13"/>
    <tableColumn id="2" xr3:uid="{C8CBD7F1-8A8E-48A1-BAB4-813A06871DAF}" name="Category Value"/>
    <tableColumn id="3" xr3:uid="{181A2014-39FD-4A7B-ADF6-F50557972D05}" name="Total Instances" dataDxfId="12"/>
    <tableColumn id="4" xr3:uid="{F18F8164-053A-4FEF-BD6C-9748B89946DE}" name="#Different Types of System" dataDxfId="11"/>
    <tableColumn id="5" xr3:uid="{EB0422F0-E8F6-4D1E-8732-1FEA8A487E72}" name="&quot;Variety Score&quot;" dataDxfId="10">
      <calculatedColumnFormula>Table13[[#This Row],['#Different Types of System]]/Table13[[#This Row],[Total Instances]]</calculatedColumnFormula>
    </tableColumn>
  </tableColumns>
  <tableStyleInfo name="TableStyleMedium7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5CDA853-462B-4781-BB36-143489C89EEE}" name="Table7b" displayName="Table7b" ref="P25:S34" totalsRowShown="0" headerRowDxfId="9" dataDxfId="8">
  <autoFilter ref="P25:S34" xr:uid="{05CDA853-462B-4781-BB36-143489C89EEE}"/>
  <tableColumns count="4">
    <tableColumn id="1" xr3:uid="{85DC81EB-4DFC-4CC6-A3C2-4C1574ABD4E3}" name="Non-Data Repository System" dataDxfId="7"/>
    <tableColumn id="2" xr3:uid="{4A776916-E148-4E6D-8577-8F32914D666B}" name="Single Repository Used for Data and Non-Data" dataDxfId="6"/>
    <tableColumn id="5" xr3:uid="{978D9B35-C478-44F3-B645-D617F13FEA2E}" name="Separate Repository, Same Software" dataDxfId="5"/>
    <tableColumn id="3" xr3:uid="{094B74AE-46DC-41C4-A619-6EED2027061D}" name="Separate Repository, Different Software" dataDxfId="4"/>
  </tableColumns>
  <tableStyleInfo name="TableStyleMedium6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FF4F027C-EF9C-42F2-9D19-BDBABEACCE10}" name="Table17" displayName="Table17" ref="G101:H132" totalsRowShown="0" headerRowDxfId="3" dataDxfId="2">
  <autoFilter ref="G101:H132" xr:uid="{FF4F027C-EF9C-42F2-9D19-BDBABEACCE10}"/>
  <sortState xmlns:xlrd2="http://schemas.microsoft.com/office/spreadsheetml/2017/richdata2" ref="G102:H132">
    <sortCondition ref="H101:H132"/>
  </sortState>
  <tableColumns count="2">
    <tableColumn id="1" xr3:uid="{574EE53F-BAC0-4A19-B0B1-D3FBED2A887A}" name="Category Type: Value" dataDxfId="1"/>
    <tableColumn id="2" xr3:uid="{09E0E08F-0616-42B6-8BED-AD282BFD390B}" name="&quot;Variety Score&quot;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68F212-7169-466C-A3C4-6506FAF7785C}" name="OnlyUni" displayName="OnlyUni" ref="A1:K119" totalsRowShown="0">
  <autoFilter ref="A1:K119" xr:uid="{8E68F212-7169-466C-A3C4-6506FAF7785C}"/>
  <sortState xmlns:xlrd2="http://schemas.microsoft.com/office/spreadsheetml/2017/richdata2" ref="A2:K119">
    <sortCondition ref="K1:K119"/>
  </sortState>
  <tableColumns count="11">
    <tableColumn id="1" xr3:uid="{1185DE84-E4F0-4091-9377-EC473BA135EF}" name="Institution"/>
    <tableColumn id="2" xr3:uid="{9A6488A1-4021-4D69-9C9B-931B96D63CF3}" name="No. of FTE Students (https://www.timeshighereducation.com/world-university-rankings/latest/world-ranking#!/length/25/locations/GBR/sort_by/scores_citations/sort_order/asc/cols/scores)"/>
    <tableColumn id="3" xr3:uid="{A0F14D9A-2D50-4961-8D9F-E9215164D9A2}" name="Size Category"/>
    <tableColumn id="4" xr3:uid="{13AEC961-6D31-4F19-ABE3-DD15AC92D783}" name="Research Intensity (https://www.thecompleteuniversityguide.co.uk/league-tables/rankings?tabletype=full-table)"/>
    <tableColumn id="5" xr3:uid="{32E374B8-BBA7-434D-A756-8CECE8C7E03E}" name="Research Intensity Category"/>
    <tableColumn id="6" xr3:uid="{F3DC0FB4-0750-4E42-9785-724CD5DD5BEF}" name="Region (www.ucas.com)"/>
    <tableColumn id="7" xr3:uid="{9DD2FB24-4530-4CDC-831C-32CF5C1D109F}" name="Year Granted University Status (https://www.officeforstudents.org.uk/for-providers/regulatory-resources/the-ofs-register/#/ OR Wikipedia)"/>
    <tableColumn id="8" xr3:uid="{202975BC-0C5A-459B-8874-BBBAFC399E26}" name="If Not University Status, Year Granted Degree-Awarding Powers (https://www.officeforstudents.org.uk/for-providers/regulatory-resources/the-ofs-register/#/)"/>
    <tableColumn id="9" xr3:uid="{FECC7CBA-3F0C-4F0C-8375-CBB3304B8978}" name="Age Group (Year of University Status OR Degree-Awarding Powers)"/>
    <tableColumn id="10" xr3:uid="{4B0DECEA-93A8-4A6F-9CE7-9B5FAC868BC8}" name="Member Groups"/>
    <tableColumn id="11" xr3:uid="{6218D3F9-E9C5-4C59-B924-263B924D27EB}" name="Repository Software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DF4EA4-1623-4323-84FB-54FB4A6E9698}" name="Table1" displayName="Table1" ref="A3:D16" totalsRowShown="0" headerRowDxfId="97" dataDxfId="96">
  <autoFilter ref="A3:D16" xr:uid="{00DF4EA4-1623-4323-84FB-54FB4A6E9698}"/>
  <sortState xmlns:xlrd2="http://schemas.microsoft.com/office/spreadsheetml/2017/richdata2" ref="A4:B16">
    <sortCondition ref="A3:A16"/>
  </sortState>
  <tableColumns count="4">
    <tableColumn id="1" xr3:uid="{1A51ACF4-4147-4B09-96D4-21EA3C34883F}" name="Repository System" dataDxfId="95"/>
    <tableColumn id="2" xr3:uid="{2C704E52-B38E-41CB-B1F6-3BED87E5BC9B}" name="Total #Instances" dataDxfId="94">
      <calculatedColumnFormula>COUNTIF(RevisedData[Repository Software],Table1[[#This Row],[Repository System]])</calculatedColumnFormula>
    </tableColumn>
    <tableColumn id="3" xr3:uid="{84D8660D-18A1-4479-AA8D-A4692E4E4F15}" name="#Instances for Universities*" dataDxfId="93"/>
    <tableColumn id="4" xr3:uid="{34182ABB-BABA-4843-B9A6-8E7FC8C7659F}" name="#Instances for Other Organisations" dataDxfId="92">
      <calculatedColumnFormula>Table1[[#This Row],[Total '#Instances]]-Table1[[#This Row],['#Instances for Universities*]]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8DF1B1-45D7-4545-88B9-44C0171E0FBC}" name="Table2" displayName="Table2" ref="F3:H15" totalsRowShown="0" headerRowDxfId="91" dataDxfId="90">
  <autoFilter ref="F3:H15" xr:uid="{048DF1B1-45D7-4545-88B9-44C0171E0FBC}"/>
  <sortState xmlns:xlrd2="http://schemas.microsoft.com/office/spreadsheetml/2017/richdata2" ref="F4:H15">
    <sortCondition ref="G3:G15"/>
  </sortState>
  <tableColumns count="3">
    <tableColumn id="1" xr3:uid="{ADF40A4F-28BE-46FD-BDDB-F6DE815299BB}" name="Repository System" dataDxfId="89"/>
    <tableColumn id="2" xr3:uid="{667F5F58-4D45-4055-B64F-48209EA7C9F2}" name="System Type" dataDxfId="88"/>
    <tableColumn id="3" xr3:uid="{B65BCC8D-B7E0-4652-B053-953B33E6BB06}" name="Developer/Owner" dataDxfId="8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0F23C9A-EE9F-44B1-905D-7482BC767849}" name="Table3" displayName="Table3" ref="J3:M5" totalsRowShown="0" headerRowDxfId="86" dataDxfId="85">
  <autoFilter ref="J3:M5" xr:uid="{A0F23C9A-EE9F-44B1-905D-7482BC767849}"/>
  <tableColumns count="4">
    <tableColumn id="1" xr3:uid="{EDF29CA7-2A87-470D-B9F9-9309628A1AF5}" name="Repository System Type" dataDxfId="84"/>
    <tableColumn id="2" xr3:uid="{033548DD-7FA9-49E0-8153-E080577DE453}" name="Total #Instances" dataDxfId="83"/>
    <tableColumn id="3" xr3:uid="{B9E0F52F-E932-4DCF-BCC8-23360EEF9BA0}" name="Universities" dataDxfId="82">
      <calculatedColumnFormula>48-2-1</calculatedColumnFormula>
    </tableColumn>
    <tableColumn id="4" xr3:uid="{602F9A7F-4D14-43CD-AB12-069A17AA330F}" name="Other Organisations" dataDxfId="8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F6DD5BB-0182-4D6C-90BF-0A4B754C2A26}" name="Table4" displayName="Table4" ref="A25:D29" totalsRowShown="0" headerRowDxfId="80" dataDxfId="79">
  <autoFilter ref="A25:D29" xr:uid="{6F6DD5BB-0182-4D6C-90BF-0A4B754C2A26}"/>
  <tableColumns count="4">
    <tableColumn id="1" xr3:uid="{6DC5834B-A84C-4A08-BBA5-6762C539F2E9}" name="Does Institution Have Separate Data Repository?" dataDxfId="78"/>
    <tableColumn id="2" xr3:uid="{26C8EF7F-51AC-4F6E-9A28-5BB46823453A}" name="Total #Instances" dataDxfId="77">
      <calculatedColumnFormula>COUNTIF(RevisedData[Separate Data Repository?],Table4[[#This Row],[Does Institution Have Separate Data Repository?]])</calculatedColumnFormula>
    </tableColumn>
    <tableColumn id="3" xr3:uid="{71C52D05-FB65-4A3E-AF1C-E24E02272176}" name="#Instances for Universities*" dataDxfId="76"/>
    <tableColumn id="4" xr3:uid="{829AEB77-D2E0-48FD-A7FF-67A2026B245E}" name="#Instances for Other Organisations" dataDxfId="75"/>
  </tableColumns>
  <tableStyleInfo name="TableStyleMedium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522027-7418-46C2-9A6A-BC4A69B2EADE}" name="Table5" displayName="Table5" ref="F25:G33" totalsRowShown="0" headerRowDxfId="74" dataDxfId="73">
  <autoFilter ref="F25:G33" xr:uid="{B1522027-7418-46C2-9A6A-BC4A69B2EADE}"/>
  <tableColumns count="2">
    <tableColumn id="1" xr3:uid="{98961DCB-3829-47D3-A08B-DFEF347A8EAF}" name="Repository System" dataDxfId="72"/>
    <tableColumn id="2" xr3:uid="{86397624-C76A-424F-93C2-2617D47BA565}" name="#Instances" dataDxfId="71"/>
  </tableColumns>
  <tableStyleInfo name="TableStyleMedium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560231B-256D-4B87-88D9-1774775796ED}" name="Table6" displayName="Table6" ref="I25:K31" totalsRowShown="0" headerRowDxfId="70" dataDxfId="69">
  <autoFilter ref="I25:K31" xr:uid="{5560231B-256D-4B87-88D9-1774775796ED}"/>
  <tableColumns count="3">
    <tableColumn id="1" xr3:uid="{07D65F51-5B8A-43C7-B440-8F680BB3DF2A}" name="Non-Data Repository System" dataDxfId="68"/>
    <tableColumn id="2" xr3:uid="{CE821543-C551-439D-BA33-5A667790E174}" name="#Instances" dataDxfId="67"/>
    <tableColumn id="3" xr3:uid="{F4A657B8-9327-4991-89AB-7D9498C6C7F6}" name="Data Repository Details" dataDxfId="66"/>
  </tableColumns>
  <tableStyleInfo name="TableStyleMedium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2AB4A53-F342-4413-886D-2A7EE7F23F48}" name="Table7" displayName="Table7" ref="M25:N27" totalsRowShown="0" headerRowDxfId="65" dataDxfId="64">
  <autoFilter ref="M25:N27" xr:uid="{12AB4A53-F342-4413-886D-2A7EE7F23F48}"/>
  <tableColumns count="2">
    <tableColumn id="1" xr3:uid="{0DBF9360-61D8-42A8-85DB-2B4F7F67D8C5}" name="Repository System" dataDxfId="63"/>
    <tableColumn id="2" xr3:uid="{7FEE7A11-7BB7-421F-BEE5-FA2EBF32DC94}" name="#Instances" dataDxfId="6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ure.ulster.ac.uk/en/" TargetMode="External"/><Relationship Id="rId21" Type="http://schemas.openxmlformats.org/officeDocument/2006/relationships/hyperlink" Target="http://repository.canterbury.ac.uk/" TargetMode="External"/><Relationship Id="rId42" Type="http://schemas.openxmlformats.org/officeDocument/2006/relationships/hyperlink" Target="https://hau.collections.crest.ac.uk/" TargetMode="External"/><Relationship Id="rId63" Type="http://schemas.openxmlformats.org/officeDocument/2006/relationships/hyperlink" Target="http://eprints.lse.ac.uk/" TargetMode="External"/><Relationship Id="rId84" Type="http://schemas.openxmlformats.org/officeDocument/2006/relationships/hyperlink" Target="https://nua.collections.crest.ac.uk/" TargetMode="External"/><Relationship Id="rId138" Type="http://schemas.openxmlformats.org/officeDocument/2006/relationships/hyperlink" Target="http://eprints.chi.ac.uk/" TargetMode="External"/><Relationship Id="rId159" Type="http://schemas.openxmlformats.org/officeDocument/2006/relationships/hyperlink" Target="https://ris.leeds.ac.uk/research-excellence/university-of-leeds-publications-policy/" TargetMode="External"/><Relationship Id="rId170" Type="http://schemas.openxmlformats.org/officeDocument/2006/relationships/hyperlink" Target="https://rdmc.nottingham.ac.uk/" TargetMode="External"/><Relationship Id="rId191" Type="http://schemas.openxmlformats.org/officeDocument/2006/relationships/hyperlink" Target="https://datastorre.stir.ac.uk/" TargetMode="External"/><Relationship Id="rId205" Type="http://schemas.openxmlformats.org/officeDocument/2006/relationships/hyperlink" Target="https://eprints.worc.ac.uk/" TargetMode="External"/><Relationship Id="rId107" Type="http://schemas.openxmlformats.org/officeDocument/2006/relationships/hyperlink" Target="http://openaccess.sgul.ac.uk/" TargetMode="External"/><Relationship Id="rId11" Type="http://schemas.openxmlformats.org/officeDocument/2006/relationships/hyperlink" Target="http://researchspace.bathspa.ac.uk/" TargetMode="External"/><Relationship Id="rId32" Type="http://schemas.openxmlformats.org/officeDocument/2006/relationships/hyperlink" Target="https://collections.durham.ac.uk/" TargetMode="External"/><Relationship Id="rId53" Type="http://schemas.openxmlformats.org/officeDocument/2006/relationships/hyperlink" Target="https://www.kcl.ac.uk/researchsupport/open-access/rights-retention-strategy" TargetMode="External"/><Relationship Id="rId74" Type="http://schemas.openxmlformats.org/officeDocument/2006/relationships/hyperlink" Target="http://repository.nms.ac.uk/" TargetMode="External"/><Relationship Id="rId128" Type="http://schemas.openxmlformats.org/officeDocument/2006/relationships/hyperlink" Target="https://bradscholars.brad.ac.uk/" TargetMode="External"/><Relationship Id="rId149" Type="http://schemas.openxmlformats.org/officeDocument/2006/relationships/hyperlink" Target="http://eprints.gla.ac.uk/" TargetMode="External"/><Relationship Id="rId5" Type="http://schemas.openxmlformats.org/officeDocument/2006/relationships/hyperlink" Target="http://arro.anglia.ac.uk/" TargetMode="External"/><Relationship Id="rId95" Type="http://schemas.openxmlformats.org/officeDocument/2006/relationships/hyperlink" Target="https://openair.rgu.ac.uk/" TargetMode="External"/><Relationship Id="rId160" Type="http://schemas.openxmlformats.org/officeDocument/2006/relationships/hyperlink" Target="https://lra.le.ac.uk/" TargetMode="External"/><Relationship Id="rId181" Type="http://schemas.openxmlformats.org/officeDocument/2006/relationships/hyperlink" Target="https://salford.figshare.com/" TargetMode="External"/><Relationship Id="rId22" Type="http://schemas.openxmlformats.org/officeDocument/2006/relationships/hyperlink" Target="https://figshare.cardiffmet.ac.uk/" TargetMode="External"/><Relationship Id="rId43" Type="http://schemas.openxmlformats.org/officeDocument/2006/relationships/hyperlink" Target="http://www.ros.hw.ac.uk/" TargetMode="External"/><Relationship Id="rId64" Type="http://schemas.openxmlformats.org/officeDocument/2006/relationships/hyperlink" Target="http://researchonline.lshtm.ac.uk/" TargetMode="External"/><Relationship Id="rId118" Type="http://schemas.openxmlformats.org/officeDocument/2006/relationships/hyperlink" Target="http://discovery.ucl.ac.uk/" TargetMode="External"/><Relationship Id="rId139" Type="http://schemas.openxmlformats.org/officeDocument/2006/relationships/hyperlink" Target="http://insight.cumbria.ac.uk/" TargetMode="External"/><Relationship Id="rId85" Type="http://schemas.openxmlformats.org/officeDocument/2006/relationships/hyperlink" Target="http://oro.open.ac.uk/" TargetMode="External"/><Relationship Id="rId150" Type="http://schemas.openxmlformats.org/officeDocument/2006/relationships/hyperlink" Target="https://researchdata.gla.ac.uk/" TargetMode="External"/><Relationship Id="rId171" Type="http://schemas.openxmlformats.org/officeDocument/2006/relationships/hyperlink" Target="http://ora.ox.ac.uk/" TargetMode="External"/><Relationship Id="rId192" Type="http://schemas.openxmlformats.org/officeDocument/2006/relationships/hyperlink" Target="https://openresearch.surrey.ac.uk/esploro/" TargetMode="External"/><Relationship Id="rId206" Type="http://schemas.openxmlformats.org/officeDocument/2006/relationships/hyperlink" Target="http://eprints.whiterose.ac.uk/" TargetMode="External"/><Relationship Id="rId12" Type="http://schemas.openxmlformats.org/officeDocument/2006/relationships/hyperlink" Target="http://eprints.bbk.ac.uk/" TargetMode="External"/><Relationship Id="rId33" Type="http://schemas.openxmlformats.org/officeDocument/2006/relationships/hyperlink" Target="http://dro.dur.ac.uk/" TargetMode="External"/><Relationship Id="rId108" Type="http://schemas.openxmlformats.org/officeDocument/2006/relationships/hyperlink" Target="https://sgul.figshare.com/" TargetMode="External"/><Relationship Id="rId129" Type="http://schemas.openxmlformats.org/officeDocument/2006/relationships/hyperlink" Target="https://research.brighton.ac.uk/" TargetMode="External"/><Relationship Id="rId54" Type="http://schemas.openxmlformats.org/officeDocument/2006/relationships/hyperlink" Target="http://eprints.kingston.ac.uk/" TargetMode="External"/><Relationship Id="rId75" Type="http://schemas.openxmlformats.org/officeDocument/2006/relationships/hyperlink" Target="https://nhm.openrepository.com/" TargetMode="External"/><Relationship Id="rId96" Type="http://schemas.openxmlformats.org/officeDocument/2006/relationships/hyperlink" Target="https://repository.rothamsted.ac.uk/" TargetMode="External"/><Relationship Id="rId140" Type="http://schemas.openxmlformats.org/officeDocument/2006/relationships/hyperlink" Target="http://discovery.dundee.ac.uk/portal/" TargetMode="External"/><Relationship Id="rId161" Type="http://schemas.openxmlformats.org/officeDocument/2006/relationships/hyperlink" Target="https://leicester.figshare.com/" TargetMode="External"/><Relationship Id="rId182" Type="http://schemas.openxmlformats.org/officeDocument/2006/relationships/hyperlink" Target="http://eprints.whiterose.ac.uk/" TargetMode="External"/><Relationship Id="rId6" Type="http://schemas.openxmlformats.org/officeDocument/2006/relationships/hyperlink" Target="http://aru.figshare.com/" TargetMode="External"/><Relationship Id="rId23" Type="http://schemas.openxmlformats.org/officeDocument/2006/relationships/hyperlink" Target="https://figshare.cardiffmet.ac.uk/" TargetMode="External"/><Relationship Id="rId119" Type="http://schemas.openxmlformats.org/officeDocument/2006/relationships/hyperlink" Target="https://rdr.ucl.ac.uk/" TargetMode="External"/><Relationship Id="rId44" Type="http://schemas.openxmlformats.org/officeDocument/2006/relationships/hyperlink" Target="https://hull-repository.worktribe.com/" TargetMode="External"/><Relationship Id="rId65" Type="http://schemas.openxmlformats.org/officeDocument/2006/relationships/hyperlink" Target="https://datacompass.lshtm.ac.uk/" TargetMode="External"/><Relationship Id="rId86" Type="http://schemas.openxmlformats.org/officeDocument/2006/relationships/hyperlink" Target="https://ordo.open.ac.uk/" TargetMode="External"/><Relationship Id="rId130" Type="http://schemas.openxmlformats.org/officeDocument/2006/relationships/hyperlink" Target="https://researchdata.brighton.ac.uk/" TargetMode="External"/><Relationship Id="rId151" Type="http://schemas.openxmlformats.org/officeDocument/2006/relationships/hyperlink" Target="http://gala.gre.ac.uk/" TargetMode="External"/><Relationship Id="rId172" Type="http://schemas.openxmlformats.org/officeDocument/2006/relationships/hyperlink" Target="https://ora.ox.ac.uk/" TargetMode="External"/><Relationship Id="rId193" Type="http://schemas.openxmlformats.org/officeDocument/2006/relationships/hyperlink" Target="http://sro.sussex.ac.uk/" TargetMode="External"/><Relationship Id="rId207" Type="http://schemas.openxmlformats.org/officeDocument/2006/relationships/hyperlink" Target="https://pure.york.ac.uk/portal/en/datasets/index.html" TargetMode="External"/><Relationship Id="rId13" Type="http://schemas.openxmlformats.org/officeDocument/2006/relationships/hyperlink" Target="https://www.bbk.ac.uk/about-us/policies/open-access-research" TargetMode="External"/><Relationship Id="rId109" Type="http://schemas.openxmlformats.org/officeDocument/2006/relationships/hyperlink" Target="https://research.stmarys.ac.uk/" TargetMode="External"/><Relationship Id="rId34" Type="http://schemas.openxmlformats.org/officeDocument/2006/relationships/hyperlink" Target="https://www.durham.ac.uk/research/ethics--governance/research-publications-policy/" TargetMode="External"/><Relationship Id="rId55" Type="http://schemas.openxmlformats.org/officeDocument/2006/relationships/hyperlink" Target="http://eprints.lancaster.ac.uk/" TargetMode="External"/><Relationship Id="rId76" Type="http://schemas.openxmlformats.org/officeDocument/2006/relationships/hyperlink" Target="https://nora.nerc.ac.uk/" TargetMode="External"/><Relationship Id="rId97" Type="http://schemas.openxmlformats.org/officeDocument/2006/relationships/hyperlink" Target="http://researchonline.rcm.ac.uk/" TargetMode="External"/><Relationship Id="rId120" Type="http://schemas.openxmlformats.org/officeDocument/2006/relationships/hyperlink" Target="https://research.uca.ac.uk/" TargetMode="External"/><Relationship Id="rId141" Type="http://schemas.openxmlformats.org/officeDocument/2006/relationships/hyperlink" Target="https://ueaeprints.uea.ac.uk/" TargetMode="External"/><Relationship Id="rId7" Type="http://schemas.openxmlformats.org/officeDocument/2006/relationships/hyperlink" Target="http://repository.alt.ac.uk/" TargetMode="External"/><Relationship Id="rId162" Type="http://schemas.openxmlformats.org/officeDocument/2006/relationships/hyperlink" Target="http://eprints.lincoln.ac.uk/" TargetMode="External"/><Relationship Id="rId183" Type="http://schemas.openxmlformats.org/officeDocument/2006/relationships/hyperlink" Target="https://orda.shef.ac.uk/" TargetMode="External"/><Relationship Id="rId24" Type="http://schemas.openxmlformats.org/officeDocument/2006/relationships/hyperlink" Target="http://orca.cf.ac.uk/" TargetMode="External"/><Relationship Id="rId45" Type="http://schemas.openxmlformats.org/officeDocument/2006/relationships/hyperlink" Target="https://hydra.hull.ac.uk/" TargetMode="External"/><Relationship Id="rId66" Type="http://schemas.openxmlformats.org/officeDocument/2006/relationships/hyperlink" Target="http://researchopen.lsbu.ac.uk/" TargetMode="External"/><Relationship Id="rId87" Type="http://schemas.openxmlformats.org/officeDocument/2006/relationships/hyperlink" Target="https://radar.brookes.ac.uk/radar/access/home.do" TargetMode="External"/><Relationship Id="rId110" Type="http://schemas.openxmlformats.org/officeDocument/2006/relationships/hyperlink" Target="http://eprints.staffs.ac.uk/" TargetMode="External"/><Relationship Id="rId131" Type="http://schemas.openxmlformats.org/officeDocument/2006/relationships/hyperlink" Target="http://research-information.bristol.ac.uk/" TargetMode="External"/><Relationship Id="rId61" Type="http://schemas.openxmlformats.org/officeDocument/2006/relationships/hyperlink" Target="http://researchonline.ljmu.ac.uk/" TargetMode="External"/><Relationship Id="rId82" Type="http://schemas.openxmlformats.org/officeDocument/2006/relationships/hyperlink" Target="https://figshare.northumbria.ac.uk/" TargetMode="External"/><Relationship Id="rId152" Type="http://schemas.openxmlformats.org/officeDocument/2006/relationships/hyperlink" Target="https://uhra.herts.ac.uk/" TargetMode="External"/><Relationship Id="rId173" Type="http://schemas.openxmlformats.org/officeDocument/2006/relationships/hyperlink" Target="https://openaccess.ox.ac.uk/rights-retention/" TargetMode="External"/><Relationship Id="rId194" Type="http://schemas.openxmlformats.org/officeDocument/2006/relationships/hyperlink" Target="https://sussex.figshare.com/" TargetMode="External"/><Relationship Id="rId199" Type="http://schemas.openxmlformats.org/officeDocument/2006/relationships/hyperlink" Target="https://research-portal.uws.ac.uk/" TargetMode="External"/><Relationship Id="rId203" Type="http://schemas.openxmlformats.org/officeDocument/2006/relationships/hyperlink" Target="https://winchester.elsevierpure.com/" TargetMode="External"/><Relationship Id="rId208" Type="http://schemas.openxmlformats.org/officeDocument/2006/relationships/hyperlink" Target="https://www.n8research.org.uk/view/12315/N8-RightsRetentionStatement-1.pdf" TargetMode="External"/><Relationship Id="rId19" Type="http://schemas.openxmlformats.org/officeDocument/2006/relationships/hyperlink" Target="http://bura.brunel.ac.uk/" TargetMode="External"/><Relationship Id="rId14" Type="http://schemas.openxmlformats.org/officeDocument/2006/relationships/hyperlink" Target="http://eprints.bournemouth.ac.uk/" TargetMode="External"/><Relationship Id="rId30" Type="http://schemas.openxmlformats.org/officeDocument/2006/relationships/hyperlink" Target="https://www.dora.dmu.ac.uk/" TargetMode="External"/><Relationship Id="rId35" Type="http://schemas.openxmlformats.org/officeDocument/2006/relationships/hyperlink" Target="http://research.edgehill.ac.uk/" TargetMode="External"/><Relationship Id="rId56" Type="http://schemas.openxmlformats.org/officeDocument/2006/relationships/hyperlink" Target="http://www.research.lancs.ac.uk/portal/" TargetMode="External"/><Relationship Id="rId77" Type="http://schemas.openxmlformats.org/officeDocument/2006/relationships/hyperlink" Target="https://eprint.ncl.ac.uk/" TargetMode="External"/><Relationship Id="rId100" Type="http://schemas.openxmlformats.org/officeDocument/2006/relationships/hyperlink" Target="https://edata.stfc.ac.uk/" TargetMode="External"/><Relationship Id="rId105" Type="http://schemas.openxmlformats.org/officeDocument/2006/relationships/hyperlink" Target="http://openaccess.sruc.ac.uk/" TargetMode="External"/><Relationship Id="rId126" Type="http://schemas.openxmlformats.org/officeDocument/2006/relationships/hyperlink" Target="https://edata.bham.ac.uk/" TargetMode="External"/><Relationship Id="rId147" Type="http://schemas.openxmlformats.org/officeDocument/2006/relationships/hyperlink" Target="https://ore.exeter.ac.uk/repository/" TargetMode="External"/><Relationship Id="rId168" Type="http://schemas.openxmlformats.org/officeDocument/2006/relationships/hyperlink" Target="http://nectar.northampton.ac.uk/" TargetMode="External"/><Relationship Id="rId8" Type="http://schemas.openxmlformats.org/officeDocument/2006/relationships/hyperlink" Target="http://eprints.aston.ac.uk/" TargetMode="External"/><Relationship Id="rId51" Type="http://schemas.openxmlformats.org/officeDocument/2006/relationships/hyperlink" Target="https://kclpure.kcl.ac.uk/portal/" TargetMode="External"/><Relationship Id="rId72" Type="http://schemas.openxmlformats.org/officeDocument/2006/relationships/hyperlink" Target="http://eprints.mdx.ac.uk/" TargetMode="External"/><Relationship Id="rId93" Type="http://schemas.openxmlformats.org/officeDocument/2006/relationships/hyperlink" Target="https://pure.qub.ac.uk/portal/" TargetMode="External"/><Relationship Id="rId98" Type="http://schemas.openxmlformats.org/officeDocument/2006/relationships/hyperlink" Target="https://pure.royalholloway.ac.uk/portal/en/publications/search.html" TargetMode="External"/><Relationship Id="rId121" Type="http://schemas.openxmlformats.org/officeDocument/2006/relationships/hyperlink" Target="http://aura.abdn.ac.uk/" TargetMode="External"/><Relationship Id="rId142" Type="http://schemas.openxmlformats.org/officeDocument/2006/relationships/hyperlink" Target="https://repository.uel.ac.uk/" TargetMode="External"/><Relationship Id="rId163" Type="http://schemas.openxmlformats.org/officeDocument/2006/relationships/hyperlink" Target="http://repository.liv.ac.uk/" TargetMode="External"/><Relationship Id="rId184" Type="http://schemas.openxmlformats.org/officeDocument/2006/relationships/hyperlink" Target="https://www.sheffield.ac.uk/library/copyright/research-publications-copyright-policy" TargetMode="External"/><Relationship Id="rId189" Type="http://schemas.openxmlformats.org/officeDocument/2006/relationships/hyperlink" Target="https://www.st-andrews.ac.uk/policy/research-open-research/open-access-policy.pdf" TargetMode="External"/><Relationship Id="rId3" Type="http://schemas.openxmlformats.org/officeDocument/2006/relationships/hyperlink" Target="https://research.aber.ac.uk/portal/" TargetMode="External"/><Relationship Id="rId25" Type="http://schemas.openxmlformats.org/officeDocument/2006/relationships/hyperlink" Target="http://openaccess.city.ac.uk/" TargetMode="External"/><Relationship Id="rId46" Type="http://schemas.openxmlformats.org/officeDocument/2006/relationships/hyperlink" Target="http://spiral.imperial.ac.uk/" TargetMode="External"/><Relationship Id="rId67" Type="http://schemas.openxmlformats.org/officeDocument/2006/relationships/hyperlink" Target="https://openresearch.lsbu.ac.uk/item/93q39" TargetMode="External"/><Relationship Id="rId116" Type="http://schemas.openxmlformats.org/officeDocument/2006/relationships/hyperlink" Target="https://research.tees.ac.uk/en/" TargetMode="External"/><Relationship Id="rId137" Type="http://schemas.openxmlformats.org/officeDocument/2006/relationships/hyperlink" Target="http://chesterrep.openrepository.com/" TargetMode="External"/><Relationship Id="rId158" Type="http://schemas.openxmlformats.org/officeDocument/2006/relationships/hyperlink" Target="https://archive.researchdata.leeds.ac.uk/" TargetMode="External"/><Relationship Id="rId20" Type="http://schemas.openxmlformats.org/officeDocument/2006/relationships/hyperlink" Target="https://brunel.figshare.com/" TargetMode="External"/><Relationship Id="rId41" Type="http://schemas.openxmlformats.org/officeDocument/2006/relationships/hyperlink" Target="http://research.gold.ac.uk/" TargetMode="External"/><Relationship Id="rId62" Type="http://schemas.openxmlformats.org/officeDocument/2006/relationships/hyperlink" Target="http://archive.lstmed.ac.uk/" TargetMode="External"/><Relationship Id="rId83" Type="http://schemas.openxmlformats.org/officeDocument/2006/relationships/hyperlink" Target="https://researchportal.northumbria.ac.uk/" TargetMode="External"/><Relationship Id="rId88" Type="http://schemas.openxmlformats.org/officeDocument/2006/relationships/hyperlink" Target="https://radar.brookes.ac.uk/radar/access/home.do" TargetMode="External"/><Relationship Id="rId111" Type="http://schemas.openxmlformats.org/officeDocument/2006/relationships/hyperlink" Target="http://strathprints.strath.ac.uk/" TargetMode="External"/><Relationship Id="rId132" Type="http://schemas.openxmlformats.org/officeDocument/2006/relationships/hyperlink" Target="https://www.repository.cam.ac.uk/" TargetMode="External"/><Relationship Id="rId153" Type="http://schemas.openxmlformats.org/officeDocument/2006/relationships/hyperlink" Target="https://uhra.herts.ac.uk/" TargetMode="External"/><Relationship Id="rId174" Type="http://schemas.openxmlformats.org/officeDocument/2006/relationships/hyperlink" Target="https://pearl.plymouth.ac.uk/" TargetMode="External"/><Relationship Id="rId179" Type="http://schemas.openxmlformats.org/officeDocument/2006/relationships/hyperlink" Target="https://pure.roehampton.ac.uk/portal/" TargetMode="External"/><Relationship Id="rId195" Type="http://schemas.openxmlformats.org/officeDocument/2006/relationships/hyperlink" Target="https://ualresearchonline.arts.ac.uk/" TargetMode="External"/><Relationship Id="rId209" Type="http://schemas.openxmlformats.org/officeDocument/2006/relationships/hyperlink" Target="https://ray.yorksj.ac.uk/" TargetMode="External"/><Relationship Id="rId190" Type="http://schemas.openxmlformats.org/officeDocument/2006/relationships/hyperlink" Target="https://dspace.stir.ac.uk/" TargetMode="External"/><Relationship Id="rId204" Type="http://schemas.openxmlformats.org/officeDocument/2006/relationships/hyperlink" Target="https://wlv.openrepository.com/wlv/" TargetMode="External"/><Relationship Id="rId15" Type="http://schemas.openxmlformats.org/officeDocument/2006/relationships/hyperlink" Target="https://bordar.bournemouth.ac.uk/" TargetMode="External"/><Relationship Id="rId36" Type="http://schemas.openxmlformats.org/officeDocument/2006/relationships/hyperlink" Target="https://figshare.edgehill.ac.uk/" TargetMode="External"/><Relationship Id="rId57" Type="http://schemas.openxmlformats.org/officeDocument/2006/relationships/hyperlink" Target="https://portal.lancaster.ac.uk/ask/study/library/open-research/research-publications-and-rights-retention-policy/" TargetMode="External"/><Relationship Id="rId106" Type="http://schemas.openxmlformats.org/officeDocument/2006/relationships/hyperlink" Target="https://sruc.figshare.com/" TargetMode="External"/><Relationship Id="rId127" Type="http://schemas.openxmlformats.org/officeDocument/2006/relationships/hyperlink" Target="http://ubir.bolton.ac.uk/" TargetMode="External"/><Relationship Id="rId10" Type="http://schemas.openxmlformats.org/officeDocument/2006/relationships/hyperlink" Target="http://research.bangor.ac.uk/" TargetMode="External"/><Relationship Id="rId31" Type="http://schemas.openxmlformats.org/officeDocument/2006/relationships/hyperlink" Target="https://durham-repository.worktribe.com/" TargetMode="External"/><Relationship Id="rId52" Type="http://schemas.openxmlformats.org/officeDocument/2006/relationships/hyperlink" Target="https://kcl.figshare.com/" TargetMode="External"/><Relationship Id="rId73" Type="http://schemas.openxmlformats.org/officeDocument/2006/relationships/hyperlink" Target="https://mdx.figshare.com/" TargetMode="External"/><Relationship Id="rId78" Type="http://schemas.openxmlformats.org/officeDocument/2006/relationships/hyperlink" Target="http://data.ncl.ac.uk/" TargetMode="External"/><Relationship Id="rId94" Type="http://schemas.openxmlformats.org/officeDocument/2006/relationships/hyperlink" Target="https://openair.rgu.ac.uk/" TargetMode="External"/><Relationship Id="rId99" Type="http://schemas.openxmlformats.org/officeDocument/2006/relationships/hyperlink" Target="https://epubs.stfc.ac.uk/index" TargetMode="External"/><Relationship Id="rId101" Type="http://schemas.openxmlformats.org/officeDocument/2006/relationships/hyperlink" Target="http://shura.shu.ac.uk/" TargetMode="External"/><Relationship Id="rId122" Type="http://schemas.openxmlformats.org/officeDocument/2006/relationships/hyperlink" Target="https://www.abdn.ac.uk/staffnet/documents/policy-zone-research-and-knowledge-exchange/Research_Publications_Policy_2023.pdf" TargetMode="External"/><Relationship Id="rId143" Type="http://schemas.openxmlformats.org/officeDocument/2006/relationships/hyperlink" Target="https://repository.uel.ac.uk/" TargetMode="External"/><Relationship Id="rId148" Type="http://schemas.openxmlformats.org/officeDocument/2006/relationships/hyperlink" Target="http://hdl.handle.net/10871/134222" TargetMode="External"/><Relationship Id="rId164" Type="http://schemas.openxmlformats.org/officeDocument/2006/relationships/hyperlink" Target="https://datacat.liverpool.ac.uk/" TargetMode="External"/><Relationship Id="rId169" Type="http://schemas.openxmlformats.org/officeDocument/2006/relationships/hyperlink" Target="https://nottingham-repository.worktribe.com/" TargetMode="External"/><Relationship Id="rId185" Type="http://schemas.openxmlformats.org/officeDocument/2006/relationships/hyperlink" Target="http://eprints.soton.ac.uk/" TargetMode="External"/><Relationship Id="rId4" Type="http://schemas.openxmlformats.org/officeDocument/2006/relationships/hyperlink" Target="https://research.aber.ac.uk/" TargetMode="External"/><Relationship Id="rId9" Type="http://schemas.openxmlformats.org/officeDocument/2006/relationships/hyperlink" Target="http://researchdata.aston.ac.uk/" TargetMode="External"/><Relationship Id="rId180" Type="http://schemas.openxmlformats.org/officeDocument/2006/relationships/hyperlink" Target="http://usir.salford.ac.uk/" TargetMode="External"/><Relationship Id="rId26" Type="http://schemas.openxmlformats.org/officeDocument/2006/relationships/hyperlink" Target="https://city.figshare.com/" TargetMode="External"/><Relationship Id="rId47" Type="http://schemas.openxmlformats.org/officeDocument/2006/relationships/hyperlink" Target="https://repository.icr.ac.uk/" TargetMode="External"/><Relationship Id="rId68" Type="http://schemas.openxmlformats.org/officeDocument/2006/relationships/hyperlink" Target="https://dspace.lboro.ac.uk/dspace-jspui/" TargetMode="External"/><Relationship Id="rId89" Type="http://schemas.openxmlformats.org/officeDocument/2006/relationships/hyperlink" Target="http://eresearch.qmu.ac.uk/" TargetMode="External"/><Relationship Id="rId112" Type="http://schemas.openxmlformats.org/officeDocument/2006/relationships/hyperlink" Target="http://sro.sussex.ac.uk/" TargetMode="External"/><Relationship Id="rId133" Type="http://schemas.openxmlformats.org/officeDocument/2006/relationships/hyperlink" Target="https://www.repository.cam.ac.uk/" TargetMode="External"/><Relationship Id="rId154" Type="http://schemas.openxmlformats.org/officeDocument/2006/relationships/hyperlink" Target="https://eprints.hud.ac.uk/" TargetMode="External"/><Relationship Id="rId175" Type="http://schemas.openxmlformats.org/officeDocument/2006/relationships/hyperlink" Target="https://researchportal.port.ac.uk/portal/" TargetMode="External"/><Relationship Id="rId196" Type="http://schemas.openxmlformats.org/officeDocument/2006/relationships/hyperlink" Target="https://uwe-repository.worktribe.com/" TargetMode="External"/><Relationship Id="rId200" Type="http://schemas.openxmlformats.org/officeDocument/2006/relationships/hyperlink" Target="http://wrap.warwick.ac.uk/" TargetMode="External"/><Relationship Id="rId16" Type="http://schemas.openxmlformats.org/officeDocument/2006/relationships/hyperlink" Target="http://nora.nerc.ac.uk/" TargetMode="External"/><Relationship Id="rId37" Type="http://schemas.openxmlformats.org/officeDocument/2006/relationships/hyperlink" Target="https://repository.falmouth.ac.uk/" TargetMode="External"/><Relationship Id="rId58" Type="http://schemas.openxmlformats.org/officeDocument/2006/relationships/hyperlink" Target="https://lau.collections.crest.ac.uk/" TargetMode="External"/><Relationship Id="rId79" Type="http://schemas.openxmlformats.org/officeDocument/2006/relationships/hyperlink" Target="https://www.ncl.ac.uk/media/wwwnclacuk/research/files/Research%20Publications%20and%20Copyright%20Policy%20-%20updated%20weblinks.pdf" TargetMode="External"/><Relationship Id="rId102" Type="http://schemas.openxmlformats.org/officeDocument/2006/relationships/hyperlink" Target="https://libguides.shu.ac.uk/OpenAccess/rightsretention" TargetMode="External"/><Relationship Id="rId123" Type="http://schemas.openxmlformats.org/officeDocument/2006/relationships/hyperlink" Target="https://researchportal.bath.ac.uk/" TargetMode="External"/><Relationship Id="rId144" Type="http://schemas.openxmlformats.org/officeDocument/2006/relationships/hyperlink" Target="https://datashare.ed.ac.uk/" TargetMode="External"/><Relationship Id="rId90" Type="http://schemas.openxmlformats.org/officeDocument/2006/relationships/hyperlink" Target="https://eresearch.qmu.ac.uk/handle/20.500.12289/1" TargetMode="External"/><Relationship Id="rId165" Type="http://schemas.openxmlformats.org/officeDocument/2006/relationships/hyperlink" Target="https://www.n8research.org.uk/view/12315/N8-RightsRetentionStatement-1.pdf" TargetMode="External"/><Relationship Id="rId186" Type="http://schemas.openxmlformats.org/officeDocument/2006/relationships/hyperlink" Target="http://eprints.soton.ac.uk/" TargetMode="External"/><Relationship Id="rId27" Type="http://schemas.openxmlformats.org/officeDocument/2006/relationships/hyperlink" Target="https://pureportal.coventry.ac.uk/" TargetMode="External"/><Relationship Id="rId48" Type="http://schemas.openxmlformats.org/officeDocument/2006/relationships/hyperlink" Target="https://opendocs.ids.ac.uk/opendocs/" TargetMode="External"/><Relationship Id="rId69" Type="http://schemas.openxmlformats.org/officeDocument/2006/relationships/hyperlink" Target="https://repository.lboro.ac.uk/" TargetMode="External"/><Relationship Id="rId113" Type="http://schemas.openxmlformats.org/officeDocument/2006/relationships/hyperlink" Target="https://sussex.figshare.com/" TargetMode="External"/><Relationship Id="rId134" Type="http://schemas.openxmlformats.org/officeDocument/2006/relationships/hyperlink" Target="https://www.openaccess.cam.ac.uk/cambridge-open-access-policy/self-archiving-policy" TargetMode="External"/><Relationship Id="rId80" Type="http://schemas.openxmlformats.org/officeDocument/2006/relationships/hyperlink" Target="https://newman.collections.crest.ac.uk/" TargetMode="External"/><Relationship Id="rId155" Type="http://schemas.openxmlformats.org/officeDocument/2006/relationships/hyperlink" Target="https://kar.kent.ac.uk/" TargetMode="External"/><Relationship Id="rId176" Type="http://schemas.openxmlformats.org/officeDocument/2006/relationships/hyperlink" Target="https://researchportal.port.ac.uk/portal/en/datasets/search.html" TargetMode="External"/><Relationship Id="rId197" Type="http://schemas.openxmlformats.org/officeDocument/2006/relationships/hyperlink" Target="https://www1.uwe.ac.uk/library/usingthelibrary/searchforthingsa-z/uweresearchdatarepository.aspx" TargetMode="External"/><Relationship Id="rId201" Type="http://schemas.openxmlformats.org/officeDocument/2006/relationships/hyperlink" Target="https://repository.uwl.ac.uk/" TargetMode="External"/><Relationship Id="rId17" Type="http://schemas.openxmlformats.org/officeDocument/2006/relationships/hyperlink" Target="http://nora.nerc.ac.uk/" TargetMode="External"/><Relationship Id="rId38" Type="http://schemas.openxmlformats.org/officeDocument/2006/relationships/hyperlink" Target="https://crick.figshare.com/" TargetMode="External"/><Relationship Id="rId59" Type="http://schemas.openxmlformats.org/officeDocument/2006/relationships/hyperlink" Target="http://eprints.leedsbeckett.ac.uk/" TargetMode="External"/><Relationship Id="rId103" Type="http://schemas.openxmlformats.org/officeDocument/2006/relationships/hyperlink" Target="https://eprints.soas.ac.uk/" TargetMode="External"/><Relationship Id="rId124" Type="http://schemas.openxmlformats.org/officeDocument/2006/relationships/hyperlink" Target="http://uobrep.openrepository.com/uobrep" TargetMode="External"/><Relationship Id="rId70" Type="http://schemas.openxmlformats.org/officeDocument/2006/relationships/hyperlink" Target="http://www.e-space.mmu.ac.uk/" TargetMode="External"/><Relationship Id="rId91" Type="http://schemas.openxmlformats.org/officeDocument/2006/relationships/hyperlink" Target="https://qmro.qmul.ac.uk/" TargetMode="External"/><Relationship Id="rId145" Type="http://schemas.openxmlformats.org/officeDocument/2006/relationships/hyperlink" Target="https://www.ed.ac.uk/information-services/about/policies-and-regulations/research-publications" TargetMode="External"/><Relationship Id="rId166" Type="http://schemas.openxmlformats.org/officeDocument/2006/relationships/hyperlink" Target="https://www.research.manchester.ac.uk/portal/" TargetMode="External"/><Relationship Id="rId187" Type="http://schemas.openxmlformats.org/officeDocument/2006/relationships/hyperlink" Target="http://research-repository.st-andrews.ac.uk/" TargetMode="External"/><Relationship Id="rId1" Type="http://schemas.openxmlformats.org/officeDocument/2006/relationships/hyperlink" Target="https://rke.abertay.ac.uk/" TargetMode="External"/><Relationship Id="rId28" Type="http://schemas.openxmlformats.org/officeDocument/2006/relationships/hyperlink" Target="https://dspace.lib.cranfield.ac.uk/" TargetMode="External"/><Relationship Id="rId49" Type="http://schemas.openxmlformats.org/officeDocument/2006/relationships/hyperlink" Target="http://eprints.keele.ac.uk/" TargetMode="External"/><Relationship Id="rId114" Type="http://schemas.openxmlformats.org/officeDocument/2006/relationships/hyperlink" Target="https://cronfa.swan.ac.uk/" TargetMode="External"/><Relationship Id="rId60" Type="http://schemas.openxmlformats.org/officeDocument/2006/relationships/hyperlink" Target="https://figshare.leedsbeckett.ac.uk/" TargetMode="External"/><Relationship Id="rId81" Type="http://schemas.openxmlformats.org/officeDocument/2006/relationships/hyperlink" Target="https://researchportal.northumbria.ac.uk/en/" TargetMode="External"/><Relationship Id="rId135" Type="http://schemas.openxmlformats.org/officeDocument/2006/relationships/hyperlink" Target="http://clok.uclan.ac.uk/" TargetMode="External"/><Relationship Id="rId156" Type="http://schemas.openxmlformats.org/officeDocument/2006/relationships/hyperlink" Target="http://data.kent.ac.uk/" TargetMode="External"/><Relationship Id="rId177" Type="http://schemas.openxmlformats.org/officeDocument/2006/relationships/hyperlink" Target="http://centaur.reading.ac.uk/" TargetMode="External"/><Relationship Id="rId198" Type="http://schemas.openxmlformats.org/officeDocument/2006/relationships/hyperlink" Target="https://research-portal.uws.ac.uk/" TargetMode="External"/><Relationship Id="rId202" Type="http://schemas.openxmlformats.org/officeDocument/2006/relationships/hyperlink" Target="https://westminsterresearch.westminster.ac.uk/" TargetMode="External"/><Relationship Id="rId18" Type="http://schemas.openxmlformats.org/officeDocument/2006/relationships/hyperlink" Target="http://nora.nerc.ac.uk/" TargetMode="External"/><Relationship Id="rId39" Type="http://schemas.openxmlformats.org/officeDocument/2006/relationships/hyperlink" Target="http://researchonline.gcu.ac.uk/portal/" TargetMode="External"/><Relationship Id="rId50" Type="http://schemas.openxmlformats.org/officeDocument/2006/relationships/hyperlink" Target="https://researchdata.keele.ac.uk/" TargetMode="External"/><Relationship Id="rId104" Type="http://schemas.openxmlformats.org/officeDocument/2006/relationships/hyperlink" Target="http://ssudl.solent.ac.uk/" TargetMode="External"/><Relationship Id="rId125" Type="http://schemas.openxmlformats.org/officeDocument/2006/relationships/hyperlink" Target="https://research.birmingham.ac.uk/portal/en/" TargetMode="External"/><Relationship Id="rId146" Type="http://schemas.openxmlformats.org/officeDocument/2006/relationships/hyperlink" Target="http://repository.essex.ac.uk/" TargetMode="External"/><Relationship Id="rId167" Type="http://schemas.openxmlformats.org/officeDocument/2006/relationships/hyperlink" Target="https://www.library.manchester.ac.uk/services/research/open-research/access/rights-retention/" TargetMode="External"/><Relationship Id="rId188" Type="http://schemas.openxmlformats.org/officeDocument/2006/relationships/hyperlink" Target="https://risweb.st-andrews.ac.uk/portal/en/datasets/index.html" TargetMode="External"/><Relationship Id="rId71" Type="http://schemas.openxmlformats.org/officeDocument/2006/relationships/hyperlink" Target="https://www.e-space.mmu.ac.uk/" TargetMode="External"/><Relationship Id="rId92" Type="http://schemas.openxmlformats.org/officeDocument/2006/relationships/hyperlink" Target="https://pure.qub.ac.uk/portal/" TargetMode="External"/><Relationship Id="rId2" Type="http://schemas.openxmlformats.org/officeDocument/2006/relationships/hyperlink" Target="https://rke.abertay.ac.uk/" TargetMode="External"/><Relationship Id="rId29" Type="http://schemas.openxmlformats.org/officeDocument/2006/relationships/hyperlink" Target="https://dspace.lib.cranfield.ac.uk/cord" TargetMode="External"/><Relationship Id="rId40" Type="http://schemas.openxmlformats.org/officeDocument/2006/relationships/hyperlink" Target="http://radar.gsa.ac.uk/" TargetMode="External"/><Relationship Id="rId115" Type="http://schemas.openxmlformats.org/officeDocument/2006/relationships/hyperlink" Target="https://zenodo.org/communities/swansea-university/" TargetMode="External"/><Relationship Id="rId136" Type="http://schemas.openxmlformats.org/officeDocument/2006/relationships/hyperlink" Target="https://uclandata.uclan.ac.uk/" TargetMode="External"/><Relationship Id="rId157" Type="http://schemas.openxmlformats.org/officeDocument/2006/relationships/hyperlink" Target="http://eprints.whiterose.ac.uk/" TargetMode="External"/><Relationship Id="rId178" Type="http://schemas.openxmlformats.org/officeDocument/2006/relationships/hyperlink" Target="https://researchdata.reading.ac.u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13" Type="http://schemas.openxmlformats.org/officeDocument/2006/relationships/table" Target="../tables/table15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5" Type="http://schemas.openxmlformats.org/officeDocument/2006/relationships/table" Target="../tables/table1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Relationship Id="rId14" Type="http://schemas.openxmlformats.org/officeDocument/2006/relationships/table" Target="../tables/table1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60F7A-DEDA-45BC-8160-D78B739846F6}">
  <dimension ref="A1:A19"/>
  <sheetViews>
    <sheetView tabSelected="1" workbookViewId="0"/>
  </sheetViews>
  <sheetFormatPr defaultRowHeight="12.75"/>
  <cols>
    <col min="1" max="16384" width="9.140625" style="70"/>
  </cols>
  <sheetData>
    <row r="1" spans="1:1">
      <c r="A1" s="91" t="s">
        <v>678</v>
      </c>
    </row>
    <row r="3" spans="1:1">
      <c r="A3" s="93" t="s">
        <v>680</v>
      </c>
    </row>
    <row r="5" spans="1:1">
      <c r="A5" s="92" t="s">
        <v>681</v>
      </c>
    </row>
    <row r="7" spans="1:1">
      <c r="A7" s="92" t="s">
        <v>679</v>
      </c>
    </row>
    <row r="9" spans="1:1">
      <c r="A9" s="92" t="s">
        <v>677</v>
      </c>
    </row>
    <row r="11" spans="1:1">
      <c r="A11" s="92" t="s">
        <v>672</v>
      </c>
    </row>
    <row r="13" spans="1:1">
      <c r="A13" s="92" t="s">
        <v>673</v>
      </c>
    </row>
    <row r="15" spans="1:1">
      <c r="A15" s="92" t="s">
        <v>674</v>
      </c>
    </row>
    <row r="17" spans="1:1">
      <c r="A17" s="92" t="s">
        <v>675</v>
      </c>
    </row>
    <row r="19" spans="1:1">
      <c r="A19" s="92" t="s">
        <v>676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C13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2.5703125" defaultRowHeight="15" customHeight="1"/>
  <cols>
    <col min="1" max="1" width="32.42578125" customWidth="1"/>
    <col min="2" max="2" width="20.28515625" customWidth="1"/>
    <col min="3" max="3" width="33.7109375" customWidth="1"/>
    <col min="4" max="4" width="24.85546875" customWidth="1"/>
    <col min="5" max="5" width="29.85546875" customWidth="1"/>
    <col min="6" max="6" width="49.42578125" customWidth="1"/>
    <col min="7" max="7" width="19" customWidth="1"/>
    <col min="8" max="8" width="134.7109375" customWidth="1"/>
    <col min="10" max="10" width="60" customWidth="1"/>
  </cols>
  <sheetData>
    <row r="1" spans="1:29" ht="33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</v>
      </c>
      <c r="G1" s="1" t="s">
        <v>5</v>
      </c>
      <c r="H1" s="1" t="s">
        <v>6</v>
      </c>
      <c r="I1" s="2" t="s">
        <v>7</v>
      </c>
      <c r="J1" s="2" t="s">
        <v>8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6.5" customHeight="1">
      <c r="A2" s="3" t="s">
        <v>9</v>
      </c>
      <c r="B2" s="3" t="s">
        <v>10</v>
      </c>
      <c r="C2" s="4" t="s">
        <v>11</v>
      </c>
      <c r="D2" s="3" t="s">
        <v>10</v>
      </c>
      <c r="E2" s="3" t="s">
        <v>10</v>
      </c>
      <c r="F2" s="4" t="s">
        <v>11</v>
      </c>
      <c r="G2" s="5">
        <v>43587</v>
      </c>
      <c r="H2" s="3"/>
      <c r="I2" s="6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16.5" customHeight="1">
      <c r="A3" s="8" t="s">
        <v>12</v>
      </c>
      <c r="B3" s="8" t="s">
        <v>10</v>
      </c>
      <c r="C3" s="52" t="s">
        <v>13</v>
      </c>
      <c r="D3" s="8" t="s">
        <v>10</v>
      </c>
      <c r="E3" s="8" t="s">
        <v>10</v>
      </c>
      <c r="F3" s="52" t="s">
        <v>14</v>
      </c>
      <c r="G3" s="9">
        <v>44775</v>
      </c>
      <c r="H3" s="8"/>
      <c r="I3" s="10"/>
      <c r="J3" s="10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6.5" customHeight="1">
      <c r="A4" s="3" t="s">
        <v>15</v>
      </c>
      <c r="B4" s="3" t="s">
        <v>16</v>
      </c>
      <c r="C4" s="7"/>
      <c r="D4" s="3"/>
      <c r="E4" s="3"/>
      <c r="F4" s="3"/>
      <c r="G4" s="3" t="s">
        <v>17</v>
      </c>
      <c r="H4" s="3"/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16.5" customHeight="1">
      <c r="A5" s="8" t="s">
        <v>18</v>
      </c>
      <c r="B5" s="8" t="s">
        <v>16</v>
      </c>
      <c r="C5" s="52" t="s">
        <v>19</v>
      </c>
      <c r="D5" s="8" t="s">
        <v>20</v>
      </c>
      <c r="E5" s="8" t="s">
        <v>21</v>
      </c>
      <c r="F5" s="52" t="s">
        <v>22</v>
      </c>
      <c r="G5" s="8" t="s">
        <v>23</v>
      </c>
      <c r="H5" s="8" t="s">
        <v>24</v>
      </c>
      <c r="I5" s="10"/>
      <c r="J5" s="10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6.5" customHeight="1">
      <c r="A6" s="3" t="s">
        <v>25</v>
      </c>
      <c r="B6" s="3" t="s">
        <v>16</v>
      </c>
      <c r="C6" s="4" t="s">
        <v>26</v>
      </c>
      <c r="D6" s="3"/>
      <c r="E6" s="3"/>
      <c r="F6" s="3"/>
      <c r="G6" s="3"/>
      <c r="H6" s="3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16.5" customHeight="1">
      <c r="A7" s="8" t="s">
        <v>27</v>
      </c>
      <c r="B7" s="8" t="s">
        <v>16</v>
      </c>
      <c r="C7" s="52" t="s">
        <v>28</v>
      </c>
      <c r="D7" s="8" t="s">
        <v>29</v>
      </c>
      <c r="E7" s="8" t="s">
        <v>16</v>
      </c>
      <c r="F7" s="12" t="s">
        <v>30</v>
      </c>
      <c r="G7" s="8"/>
      <c r="H7" s="8"/>
      <c r="I7" s="10"/>
      <c r="J7" s="10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6.5" customHeight="1">
      <c r="A8" s="3" t="s">
        <v>31</v>
      </c>
      <c r="B8" s="3" t="s">
        <v>32</v>
      </c>
      <c r="C8" s="4" t="s">
        <v>33</v>
      </c>
      <c r="D8" s="3" t="s">
        <v>29</v>
      </c>
      <c r="E8" s="13"/>
      <c r="F8" s="13"/>
      <c r="G8" s="13">
        <v>43587</v>
      </c>
      <c r="H8" s="3"/>
      <c r="I8" s="6"/>
      <c r="J8" s="6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ht="16.5" customHeight="1">
      <c r="A9" s="8" t="s">
        <v>34</v>
      </c>
      <c r="B9" s="8" t="s">
        <v>16</v>
      </c>
      <c r="C9" s="52" t="s">
        <v>35</v>
      </c>
      <c r="D9" s="8"/>
      <c r="E9" s="8" t="s">
        <v>21</v>
      </c>
      <c r="F9" s="53" t="str">
        <f>HYPERLINK("https://data.bathspa.ac.uk/","https://data.bathspa.ac.uk/")</f>
        <v>https://data.bathspa.ac.uk/</v>
      </c>
      <c r="G9" s="14">
        <v>43648</v>
      </c>
      <c r="H9" s="8" t="s">
        <v>36</v>
      </c>
      <c r="I9" s="10"/>
      <c r="J9" s="10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6.5" customHeight="1">
      <c r="A10" s="3" t="s">
        <v>37</v>
      </c>
      <c r="B10" s="3" t="s">
        <v>16</v>
      </c>
      <c r="C10" s="4" t="s">
        <v>38</v>
      </c>
      <c r="D10" s="3"/>
      <c r="E10" s="3"/>
      <c r="F10" s="3"/>
      <c r="G10" s="3"/>
      <c r="H10" s="3"/>
      <c r="I10" s="6" t="s">
        <v>39</v>
      </c>
      <c r="J10" s="54" t="s">
        <v>40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ht="16.5" customHeight="1">
      <c r="A11" s="8" t="s">
        <v>41</v>
      </c>
      <c r="B11" s="8" t="s">
        <v>16</v>
      </c>
      <c r="C11" s="55" t="s">
        <v>42</v>
      </c>
      <c r="D11" s="8" t="s">
        <v>20</v>
      </c>
      <c r="E11" s="8" t="s">
        <v>16</v>
      </c>
      <c r="F11" s="56" t="s">
        <v>43</v>
      </c>
      <c r="G11" s="8" t="s">
        <v>44</v>
      </c>
      <c r="H11" s="8" t="s">
        <v>45</v>
      </c>
      <c r="I11" s="10"/>
      <c r="J11" s="10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6.5" customHeight="1">
      <c r="A12" s="3" t="s">
        <v>46</v>
      </c>
      <c r="B12" s="3" t="s">
        <v>16</v>
      </c>
      <c r="C12" s="4" t="s">
        <v>47</v>
      </c>
      <c r="D12" s="3"/>
      <c r="E12" s="3"/>
      <c r="F12" s="15"/>
      <c r="G12" s="3"/>
      <c r="H12" s="3"/>
      <c r="I12" s="6"/>
      <c r="J12" s="6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ht="16.5" customHeight="1">
      <c r="A13" s="8" t="s">
        <v>48</v>
      </c>
      <c r="B13" s="8" t="s">
        <v>16</v>
      </c>
      <c r="C13" s="52" t="s">
        <v>47</v>
      </c>
      <c r="D13" s="8"/>
      <c r="E13" s="8"/>
      <c r="F13" s="8"/>
      <c r="G13" s="8"/>
      <c r="H13" s="8"/>
      <c r="I13" s="10"/>
      <c r="J13" s="10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6.5" customHeight="1">
      <c r="A14" s="3" t="s">
        <v>49</v>
      </c>
      <c r="B14" s="3" t="s">
        <v>16</v>
      </c>
      <c r="C14" s="4" t="s">
        <v>47</v>
      </c>
      <c r="D14" s="3"/>
      <c r="E14" s="3"/>
      <c r="F14" s="3"/>
      <c r="G14" s="3"/>
      <c r="H14" s="3"/>
      <c r="I14" s="6"/>
      <c r="J14" s="6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ht="16.5" customHeight="1">
      <c r="A15" s="8" t="s">
        <v>50</v>
      </c>
      <c r="B15" s="8" t="s">
        <v>16</v>
      </c>
      <c r="C15" s="8"/>
      <c r="D15" s="8"/>
      <c r="E15" s="16"/>
      <c r="F15" s="16"/>
      <c r="G15" s="16">
        <v>43587</v>
      </c>
      <c r="H15" s="17" t="s">
        <v>51</v>
      </c>
      <c r="I15" s="10"/>
      <c r="J15" s="10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6.5" customHeight="1">
      <c r="A16" s="3" t="s">
        <v>52</v>
      </c>
      <c r="B16" s="3" t="s">
        <v>32</v>
      </c>
      <c r="C16" s="4" t="s">
        <v>53</v>
      </c>
      <c r="D16" s="3" t="s">
        <v>20</v>
      </c>
      <c r="E16" s="3" t="s">
        <v>21</v>
      </c>
      <c r="F16" s="18" t="s">
        <v>54</v>
      </c>
      <c r="G16" s="3" t="s">
        <v>23</v>
      </c>
      <c r="H16" s="3" t="s">
        <v>55</v>
      </c>
      <c r="I16" s="6"/>
      <c r="J16" s="6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 ht="16.5" customHeight="1">
      <c r="A17" s="8" t="s">
        <v>56</v>
      </c>
      <c r="B17" s="8" t="s">
        <v>57</v>
      </c>
      <c r="C17" s="19" t="s">
        <v>58</v>
      </c>
      <c r="D17" s="8"/>
      <c r="E17" s="16"/>
      <c r="F17" s="16"/>
      <c r="G17" s="20">
        <v>45383</v>
      </c>
      <c r="H17" s="8"/>
      <c r="I17" s="10"/>
      <c r="J17" s="10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ht="18" customHeight="1">
      <c r="A18" s="3" t="s">
        <v>59</v>
      </c>
      <c r="B18" s="3" t="s">
        <v>21</v>
      </c>
      <c r="C18" s="57" t="s">
        <v>60</v>
      </c>
      <c r="D18" s="3" t="s">
        <v>61</v>
      </c>
      <c r="E18" s="3" t="s">
        <v>21</v>
      </c>
      <c r="F18" s="57" t="s">
        <v>60</v>
      </c>
      <c r="G18" s="3" t="s">
        <v>62</v>
      </c>
      <c r="H18" s="3"/>
      <c r="I18" s="6"/>
      <c r="J18" s="6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ht="16.5" customHeight="1">
      <c r="A19" s="8" t="s">
        <v>63</v>
      </c>
      <c r="B19" s="8" t="s">
        <v>16</v>
      </c>
      <c r="C19" s="55" t="s">
        <v>64</v>
      </c>
      <c r="D19" s="8" t="s">
        <v>65</v>
      </c>
      <c r="E19" s="8"/>
      <c r="F19" s="8"/>
      <c r="G19" s="8"/>
      <c r="H19" s="8"/>
      <c r="I19" s="10"/>
      <c r="J19" s="10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ht="16.5" customHeight="1">
      <c r="A20" s="3" t="s">
        <v>66</v>
      </c>
      <c r="B20" s="3" t="s">
        <v>16</v>
      </c>
      <c r="C20" s="4" t="s">
        <v>67</v>
      </c>
      <c r="D20" s="3" t="s">
        <v>20</v>
      </c>
      <c r="E20" s="3" t="s">
        <v>21</v>
      </c>
      <c r="F20" s="57" t="s">
        <v>68</v>
      </c>
      <c r="G20" s="21">
        <v>43587</v>
      </c>
      <c r="H20" s="3" t="s">
        <v>69</v>
      </c>
      <c r="I20" s="6"/>
      <c r="J20" s="6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ht="16.5" customHeight="1">
      <c r="A21" s="8" t="s">
        <v>70</v>
      </c>
      <c r="B21" s="8" t="s">
        <v>10</v>
      </c>
      <c r="C21" s="52" t="s">
        <v>71</v>
      </c>
      <c r="D21" s="8" t="s">
        <v>29</v>
      </c>
      <c r="E21" s="8"/>
      <c r="F21" s="8"/>
      <c r="G21" s="8" t="s">
        <v>72</v>
      </c>
      <c r="H21" s="8" t="s">
        <v>73</v>
      </c>
      <c r="I21" s="10"/>
      <c r="J21" s="10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ht="16.5" customHeight="1">
      <c r="A22" s="3" t="s">
        <v>74</v>
      </c>
      <c r="B22" s="3" t="s">
        <v>32</v>
      </c>
      <c r="C22" s="4" t="s">
        <v>75</v>
      </c>
      <c r="D22" s="3" t="s">
        <v>20</v>
      </c>
      <c r="E22" s="3" t="s">
        <v>32</v>
      </c>
      <c r="F22" s="58" t="s">
        <v>76</v>
      </c>
      <c r="G22" s="3" t="s">
        <v>77</v>
      </c>
      <c r="H22" s="3"/>
      <c r="I22" s="6"/>
      <c r="J22" s="6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ht="16.5" customHeight="1">
      <c r="A23" s="8" t="s">
        <v>78</v>
      </c>
      <c r="B23" s="8" t="s">
        <v>32</v>
      </c>
      <c r="C23" s="52" t="s">
        <v>79</v>
      </c>
      <c r="D23" s="8"/>
      <c r="E23" s="8" t="s">
        <v>21</v>
      </c>
      <c r="F23" s="22"/>
      <c r="G23" s="22">
        <v>43618</v>
      </c>
      <c r="H23" s="8"/>
      <c r="I23" s="10"/>
      <c r="J23" s="10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ht="16.5" customHeight="1">
      <c r="A24" s="3" t="s">
        <v>80</v>
      </c>
      <c r="B24" s="3" t="s">
        <v>81</v>
      </c>
      <c r="C24" s="4" t="s">
        <v>82</v>
      </c>
      <c r="D24" s="3" t="s">
        <v>81</v>
      </c>
      <c r="E24" s="23" t="s">
        <v>83</v>
      </c>
      <c r="F24" s="24" t="s">
        <v>84</v>
      </c>
      <c r="G24" s="5">
        <v>45177</v>
      </c>
      <c r="H24" s="4" t="s">
        <v>85</v>
      </c>
      <c r="I24" s="25">
        <v>45016</v>
      </c>
      <c r="J24" s="57" t="s">
        <v>86</v>
      </c>
      <c r="K24" s="6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16.5" customHeight="1">
      <c r="A25" s="8" t="s">
        <v>87</v>
      </c>
      <c r="B25" s="8" t="s">
        <v>32</v>
      </c>
      <c r="C25" s="52" t="s">
        <v>88</v>
      </c>
      <c r="D25" s="8" t="s">
        <v>10</v>
      </c>
      <c r="E25" s="8" t="s">
        <v>21</v>
      </c>
      <c r="F25" s="52" t="s">
        <v>89</v>
      </c>
      <c r="G25" s="8" t="s">
        <v>90</v>
      </c>
      <c r="H25" s="8"/>
      <c r="I25" s="10"/>
      <c r="J25" s="10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ht="16.5" customHeight="1">
      <c r="A26" s="3" t="s">
        <v>91</v>
      </c>
      <c r="B26" s="3" t="s">
        <v>16</v>
      </c>
      <c r="C26" s="59" t="s">
        <v>92</v>
      </c>
      <c r="D26" s="3"/>
      <c r="E26" s="5"/>
      <c r="F26" s="5"/>
      <c r="G26" s="5">
        <v>43587</v>
      </c>
      <c r="H26" s="3"/>
      <c r="I26" s="6"/>
      <c r="J26" s="6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ht="16.5" customHeight="1">
      <c r="A27" s="8" t="s">
        <v>93</v>
      </c>
      <c r="B27" s="8" t="s">
        <v>21</v>
      </c>
      <c r="C27" s="55" t="s">
        <v>94</v>
      </c>
      <c r="D27" s="8" t="s">
        <v>20</v>
      </c>
      <c r="E27" s="22"/>
      <c r="F27" s="22"/>
      <c r="G27" s="8" t="s">
        <v>23</v>
      </c>
      <c r="H27" s="8" t="s">
        <v>95</v>
      </c>
      <c r="I27" s="10"/>
      <c r="J27" s="10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ht="16.5" customHeight="1">
      <c r="A28" s="3" t="s">
        <v>96</v>
      </c>
      <c r="B28" s="3" t="s">
        <v>32</v>
      </c>
      <c r="C28" s="4" t="s">
        <v>97</v>
      </c>
      <c r="D28" s="3" t="s">
        <v>29</v>
      </c>
      <c r="E28" s="3"/>
      <c r="F28" s="3"/>
      <c r="G28" s="3"/>
      <c r="H28" s="3"/>
      <c r="I28" s="6"/>
      <c r="J28" s="6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ht="16.5" customHeight="1">
      <c r="A29" s="8" t="s">
        <v>98</v>
      </c>
      <c r="B29" s="8" t="s">
        <v>16</v>
      </c>
      <c r="C29" s="55" t="s">
        <v>99</v>
      </c>
      <c r="D29" s="8"/>
      <c r="E29" s="22"/>
      <c r="F29" s="22"/>
      <c r="G29" s="22">
        <v>44568</v>
      </c>
      <c r="H29" s="8"/>
      <c r="I29" s="10"/>
      <c r="J29" s="10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ht="16.5" customHeight="1">
      <c r="A30" s="3" t="s">
        <v>100</v>
      </c>
      <c r="B30" s="3" t="s">
        <v>16</v>
      </c>
      <c r="C30" s="4" t="s">
        <v>101</v>
      </c>
      <c r="D30" s="3"/>
      <c r="E30" s="5"/>
      <c r="F30" s="5"/>
      <c r="G30" s="5">
        <v>43648</v>
      </c>
      <c r="H30" s="3"/>
      <c r="I30" s="6"/>
      <c r="J30" s="6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16.5" customHeight="1">
      <c r="A31" s="8" t="s">
        <v>102</v>
      </c>
      <c r="B31" s="8" t="s">
        <v>16</v>
      </c>
      <c r="C31" s="52" t="s">
        <v>103</v>
      </c>
      <c r="D31" s="8"/>
      <c r="E31" s="22"/>
      <c r="F31" s="22"/>
      <c r="G31" s="22">
        <v>43587</v>
      </c>
      <c r="H31" s="8"/>
      <c r="I31" s="10"/>
      <c r="J31" s="10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ht="16.5" customHeight="1">
      <c r="A32" s="3" t="s">
        <v>104</v>
      </c>
      <c r="B32" s="3" t="s">
        <v>32</v>
      </c>
      <c r="C32" s="59" t="s">
        <v>105</v>
      </c>
      <c r="D32" s="3" t="s">
        <v>29</v>
      </c>
      <c r="E32" s="21"/>
      <c r="F32" s="21"/>
      <c r="G32" s="21">
        <v>43587</v>
      </c>
      <c r="H32" s="3" t="s">
        <v>106</v>
      </c>
      <c r="I32" s="6"/>
      <c r="J32" s="6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16.5" customHeight="1">
      <c r="A33" s="8" t="s">
        <v>107</v>
      </c>
      <c r="B33" s="8" t="s">
        <v>81</v>
      </c>
      <c r="C33" s="12" t="s">
        <v>108</v>
      </c>
      <c r="D33" s="8" t="s">
        <v>81</v>
      </c>
      <c r="E33" s="8" t="s">
        <v>109</v>
      </c>
      <c r="F33" s="52" t="s">
        <v>110</v>
      </c>
      <c r="G33" s="22">
        <v>43504</v>
      </c>
      <c r="H33" s="8" t="s">
        <v>111</v>
      </c>
      <c r="I33" s="10"/>
      <c r="J33" s="10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ht="16.5" customHeight="1">
      <c r="A34" s="3" t="s">
        <v>112</v>
      </c>
      <c r="B34" s="3" t="s">
        <v>32</v>
      </c>
      <c r="C34" s="4" t="s">
        <v>113</v>
      </c>
      <c r="D34" s="3" t="s">
        <v>20</v>
      </c>
      <c r="E34" s="5"/>
      <c r="F34" s="5"/>
      <c r="G34" s="5">
        <v>44776</v>
      </c>
      <c r="H34" s="3"/>
      <c r="I34" s="6"/>
      <c r="J34" s="6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ht="16.5" customHeight="1">
      <c r="A35" s="8" t="s">
        <v>114</v>
      </c>
      <c r="B35" s="8" t="s">
        <v>16</v>
      </c>
      <c r="C35" s="55" t="s">
        <v>115</v>
      </c>
      <c r="D35" s="8" t="s">
        <v>20</v>
      </c>
      <c r="E35" s="22"/>
      <c r="F35" s="22"/>
      <c r="G35" s="22">
        <v>43587</v>
      </c>
      <c r="H35" s="8"/>
      <c r="I35" s="10"/>
      <c r="J35" s="10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ht="16.5" customHeight="1">
      <c r="A36" s="3" t="s">
        <v>116</v>
      </c>
      <c r="B36" s="3" t="s">
        <v>117</v>
      </c>
      <c r="C36" s="59" t="s">
        <v>118</v>
      </c>
      <c r="D36" s="3"/>
      <c r="E36" s="5"/>
      <c r="F36" s="5"/>
      <c r="G36" s="5">
        <v>43587</v>
      </c>
      <c r="H36" s="3"/>
      <c r="I36" s="6"/>
      <c r="J36" s="6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16.5" customHeight="1">
      <c r="A37" s="8" t="s">
        <v>119</v>
      </c>
      <c r="B37" s="8" t="s">
        <v>16</v>
      </c>
      <c r="C37" s="52" t="s">
        <v>120</v>
      </c>
      <c r="D37" s="8" t="s">
        <v>20</v>
      </c>
      <c r="E37" s="52" t="s">
        <v>121</v>
      </c>
      <c r="F37" s="22"/>
      <c r="G37" s="8" t="s">
        <v>122</v>
      </c>
      <c r="H37" s="8"/>
      <c r="I37" s="10"/>
      <c r="J37" s="10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ht="16.5" customHeight="1">
      <c r="A38" s="3" t="s">
        <v>123</v>
      </c>
      <c r="B38" s="3" t="s">
        <v>10</v>
      </c>
      <c r="C38" s="4" t="s">
        <v>124</v>
      </c>
      <c r="D38" s="3" t="s">
        <v>29</v>
      </c>
      <c r="E38" s="3" t="s">
        <v>21</v>
      </c>
      <c r="F38" s="4" t="s">
        <v>125</v>
      </c>
      <c r="G38" s="3" t="s">
        <v>126</v>
      </c>
      <c r="H38" s="3"/>
      <c r="I38" s="26">
        <v>44986</v>
      </c>
      <c r="J38" s="54" t="s">
        <v>127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pans="1:29" ht="16.5" customHeight="1">
      <c r="A39" s="8" t="s">
        <v>128</v>
      </c>
      <c r="B39" s="8" t="s">
        <v>16</v>
      </c>
      <c r="C39" s="55" t="s">
        <v>129</v>
      </c>
      <c r="D39" s="8"/>
      <c r="E39" s="8"/>
      <c r="F39" s="8"/>
      <c r="G39" s="8"/>
      <c r="H39" s="8"/>
      <c r="I39" s="10"/>
      <c r="J39" s="10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 spans="1:29" ht="16.5" customHeight="1">
      <c r="A40" s="3" t="s">
        <v>130</v>
      </c>
      <c r="B40" s="3" t="s">
        <v>16</v>
      </c>
      <c r="C40" s="4" t="s">
        <v>131</v>
      </c>
      <c r="D40" s="3" t="s">
        <v>132</v>
      </c>
      <c r="E40" s="3" t="s">
        <v>16</v>
      </c>
      <c r="F40" s="27" t="s">
        <v>133</v>
      </c>
      <c r="G40" s="5">
        <v>43587</v>
      </c>
      <c r="H40" s="3" t="s">
        <v>134</v>
      </c>
      <c r="I40" s="26">
        <v>44986</v>
      </c>
      <c r="J40" s="54" t="s">
        <v>135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pans="1:29" ht="16.5" customHeight="1">
      <c r="A41" s="8" t="s">
        <v>136</v>
      </c>
      <c r="B41" s="8" t="s">
        <v>137</v>
      </c>
      <c r="C41" s="55" t="s">
        <v>138</v>
      </c>
      <c r="D41" s="8"/>
      <c r="E41" s="22"/>
      <c r="F41" s="28"/>
      <c r="G41" s="22">
        <v>43587</v>
      </c>
      <c r="H41" s="8"/>
      <c r="I41" s="10"/>
      <c r="J41" s="10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 spans="1:29" ht="16.5" customHeight="1">
      <c r="A42" s="3" t="s">
        <v>139</v>
      </c>
      <c r="B42" s="3" t="s">
        <v>16</v>
      </c>
      <c r="C42" s="59" t="s">
        <v>140</v>
      </c>
      <c r="D42" s="3" t="s">
        <v>20</v>
      </c>
      <c r="E42" s="3" t="s">
        <v>21</v>
      </c>
      <c r="F42" s="4" t="s">
        <v>141</v>
      </c>
      <c r="G42" s="3" t="s">
        <v>142</v>
      </c>
      <c r="H42" s="3"/>
      <c r="I42" s="13">
        <v>45300</v>
      </c>
      <c r="J42" s="6" t="s">
        <v>143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 ht="16.5" customHeight="1">
      <c r="A43" s="8" t="s">
        <v>144</v>
      </c>
      <c r="B43" s="8" t="s">
        <v>16</v>
      </c>
      <c r="C43" s="52" t="s">
        <v>145</v>
      </c>
      <c r="D43" s="8" t="s">
        <v>20</v>
      </c>
      <c r="E43" s="29"/>
      <c r="F43" s="30"/>
      <c r="G43" s="30">
        <v>43587</v>
      </c>
      <c r="H43" s="8"/>
      <c r="I43" s="10"/>
      <c r="J43" s="10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ht="16.5" customHeight="1">
      <c r="A44" s="3" t="s">
        <v>146</v>
      </c>
      <c r="B44" s="3" t="s">
        <v>10</v>
      </c>
      <c r="C44" s="4" t="s">
        <v>147</v>
      </c>
      <c r="D44" s="3" t="s">
        <v>65</v>
      </c>
      <c r="E44" s="31"/>
      <c r="F44" s="31"/>
      <c r="G44" s="31">
        <v>43618</v>
      </c>
      <c r="H44" s="3" t="s">
        <v>148</v>
      </c>
      <c r="I44" s="6"/>
      <c r="J44" s="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pans="1:29" ht="16.5" customHeight="1">
      <c r="A45" s="8" t="s">
        <v>149</v>
      </c>
      <c r="B45" s="8" t="s">
        <v>16</v>
      </c>
      <c r="C45" s="52" t="s">
        <v>150</v>
      </c>
      <c r="D45" s="8" t="s">
        <v>151</v>
      </c>
      <c r="E45" s="22"/>
      <c r="F45" s="22"/>
      <c r="G45" s="22">
        <v>43587</v>
      </c>
      <c r="H45" s="8" t="s">
        <v>152</v>
      </c>
      <c r="I45" s="10"/>
      <c r="J45" s="10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 spans="1:29" ht="16.5" customHeight="1">
      <c r="A46" s="3" t="s">
        <v>153</v>
      </c>
      <c r="B46" s="3" t="s">
        <v>16</v>
      </c>
      <c r="C46" s="4" t="s">
        <v>154</v>
      </c>
      <c r="D46" s="3" t="s">
        <v>20</v>
      </c>
      <c r="E46" s="15" t="s">
        <v>16</v>
      </c>
      <c r="F46" s="54" t="s">
        <v>155</v>
      </c>
      <c r="G46" s="3" t="s">
        <v>23</v>
      </c>
      <c r="H46" s="3" t="s">
        <v>156</v>
      </c>
      <c r="I46" s="6"/>
      <c r="J46" s="6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1:29" ht="16.5" customHeight="1">
      <c r="A47" s="8" t="s">
        <v>157</v>
      </c>
      <c r="B47" s="8" t="s">
        <v>117</v>
      </c>
      <c r="C47" s="55" t="s">
        <v>158</v>
      </c>
      <c r="D47" s="8" t="s">
        <v>117</v>
      </c>
      <c r="E47" s="22"/>
      <c r="F47" s="22"/>
      <c r="G47" s="8" t="s">
        <v>23</v>
      </c>
      <c r="H47" s="8" t="s">
        <v>159</v>
      </c>
      <c r="I47" s="32">
        <v>45108</v>
      </c>
      <c r="J47" s="56" t="s">
        <v>160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ht="16.5" customHeight="1">
      <c r="A48" s="3" t="s">
        <v>161</v>
      </c>
      <c r="B48" s="3" t="s">
        <v>16</v>
      </c>
      <c r="C48" s="4" t="s">
        <v>162</v>
      </c>
      <c r="D48" s="3" t="s">
        <v>20</v>
      </c>
      <c r="E48" s="3" t="s">
        <v>21</v>
      </c>
      <c r="F48" s="4" t="s">
        <v>163</v>
      </c>
      <c r="G48" s="5">
        <v>43613</v>
      </c>
      <c r="H48" s="3" t="s">
        <v>164</v>
      </c>
      <c r="I48" s="6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16.5" customHeight="1">
      <c r="A49" s="8" t="s">
        <v>165</v>
      </c>
      <c r="B49" s="8" t="s">
        <v>16</v>
      </c>
      <c r="C49" s="52" t="s">
        <v>166</v>
      </c>
      <c r="D49" s="8" t="s">
        <v>20</v>
      </c>
      <c r="E49" s="8" t="s">
        <v>16</v>
      </c>
      <c r="F49" s="52" t="s">
        <v>167</v>
      </c>
      <c r="G49" s="33">
        <v>43615</v>
      </c>
      <c r="H49" s="8" t="s">
        <v>168</v>
      </c>
      <c r="I49" s="10"/>
      <c r="J49" s="10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ht="16.5" customHeight="1">
      <c r="A50" s="3" t="s">
        <v>169</v>
      </c>
      <c r="B50" s="3" t="s">
        <v>57</v>
      </c>
      <c r="C50" s="4" t="s">
        <v>170</v>
      </c>
      <c r="D50" s="3" t="s">
        <v>57</v>
      </c>
      <c r="E50" s="3" t="s">
        <v>21</v>
      </c>
      <c r="F50" s="60" t="s">
        <v>171</v>
      </c>
      <c r="G50" s="5">
        <v>45383</v>
      </c>
      <c r="H50" s="3" t="s">
        <v>172</v>
      </c>
      <c r="I50" s="6"/>
      <c r="J50" s="6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spans="1:29" ht="16.5" customHeight="1">
      <c r="A51" s="17" t="s">
        <v>173</v>
      </c>
      <c r="B51" s="8" t="s">
        <v>174</v>
      </c>
      <c r="C51" s="61" t="s">
        <v>175</v>
      </c>
      <c r="D51" s="17"/>
      <c r="E51" s="34"/>
      <c r="F51" s="35"/>
      <c r="G51" s="34">
        <v>43648</v>
      </c>
      <c r="H51" s="17" t="s">
        <v>176</v>
      </c>
      <c r="I51" s="10"/>
      <c r="J51" s="10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 spans="1:29" ht="16.5" customHeight="1">
      <c r="A52" s="3" t="s">
        <v>177</v>
      </c>
      <c r="B52" s="3" t="s">
        <v>16</v>
      </c>
      <c r="C52" s="4" t="s">
        <v>178</v>
      </c>
      <c r="D52" s="3" t="s">
        <v>20</v>
      </c>
      <c r="E52" s="5"/>
      <c r="F52" s="5"/>
      <c r="G52" s="5">
        <v>43587</v>
      </c>
      <c r="H52" s="3"/>
      <c r="I52" s="6"/>
      <c r="J52" s="6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spans="1:29" ht="16.5" customHeight="1">
      <c r="A53" s="8" t="s">
        <v>179</v>
      </c>
      <c r="B53" s="8" t="s">
        <v>10</v>
      </c>
      <c r="C53" s="52" t="s">
        <v>180</v>
      </c>
      <c r="D53" s="8"/>
      <c r="E53" s="22"/>
      <c r="F53" s="22"/>
      <c r="G53" s="22"/>
      <c r="H53" s="8"/>
      <c r="I53" s="10"/>
      <c r="J53" s="10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29" ht="16.5" customHeight="1">
      <c r="A54" s="3" t="s">
        <v>181</v>
      </c>
      <c r="B54" s="3" t="s">
        <v>182</v>
      </c>
      <c r="C54" s="4" t="s">
        <v>183</v>
      </c>
      <c r="D54" s="3" t="s">
        <v>182</v>
      </c>
      <c r="E54" s="3" t="s">
        <v>21</v>
      </c>
      <c r="F54" s="36" t="s">
        <v>184</v>
      </c>
      <c r="G54" s="3" t="s">
        <v>23</v>
      </c>
      <c r="H54" s="3" t="s">
        <v>185</v>
      </c>
      <c r="I54" s="26">
        <v>44774</v>
      </c>
      <c r="J54" s="54" t="s">
        <v>186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spans="1:29" ht="16.5" customHeight="1">
      <c r="A55" s="8" t="s">
        <v>187</v>
      </c>
      <c r="B55" s="8" t="s">
        <v>10</v>
      </c>
      <c r="C55" s="52" t="s">
        <v>188</v>
      </c>
      <c r="D55" s="8"/>
      <c r="E55" s="22"/>
      <c r="F55" s="22"/>
      <c r="G55" s="22">
        <v>43587</v>
      </c>
      <c r="H55" s="8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 spans="1:29" ht="16.5" customHeight="1">
      <c r="A56" s="3" t="s">
        <v>189</v>
      </c>
      <c r="B56" s="3" t="s">
        <v>10</v>
      </c>
      <c r="C56" s="58" t="s">
        <v>190</v>
      </c>
      <c r="D56" s="3" t="s">
        <v>29</v>
      </c>
      <c r="E56" s="3" t="s">
        <v>21</v>
      </c>
      <c r="F56" s="58" t="s">
        <v>191</v>
      </c>
      <c r="G56" s="5">
        <v>45413</v>
      </c>
      <c r="H56" s="4" t="s">
        <v>192</v>
      </c>
      <c r="I56" s="6"/>
      <c r="J56" s="6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spans="1:29" ht="16.5" customHeight="1">
      <c r="A57" s="8" t="s">
        <v>193</v>
      </c>
      <c r="B57" s="8" t="s">
        <v>10</v>
      </c>
      <c r="C57" s="52" t="s">
        <v>194</v>
      </c>
      <c r="D57" s="8"/>
      <c r="E57" s="22"/>
      <c r="F57" s="22"/>
      <c r="G57" s="22">
        <v>43587</v>
      </c>
      <c r="H57" s="8"/>
      <c r="I57" s="10"/>
      <c r="J57" s="10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 spans="1:29" ht="16.5" customHeight="1">
      <c r="A58" s="37" t="s">
        <v>195</v>
      </c>
      <c r="B58" s="3" t="s">
        <v>16</v>
      </c>
      <c r="C58" s="4" t="s">
        <v>196</v>
      </c>
      <c r="D58" s="3" t="s">
        <v>81</v>
      </c>
      <c r="E58" s="3" t="s">
        <v>21</v>
      </c>
      <c r="F58" s="4" t="s">
        <v>197</v>
      </c>
      <c r="G58" s="3" t="s">
        <v>122</v>
      </c>
      <c r="H58" s="3"/>
      <c r="I58" s="6"/>
      <c r="J58" s="6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spans="1:29" ht="16.5" customHeight="1">
      <c r="A59" s="8" t="s">
        <v>198</v>
      </c>
      <c r="B59" s="8" t="s">
        <v>199</v>
      </c>
      <c r="C59" s="52" t="s">
        <v>200</v>
      </c>
      <c r="D59" s="8" t="s">
        <v>65</v>
      </c>
      <c r="E59" s="8" t="s">
        <v>199</v>
      </c>
      <c r="F59" s="52" t="s">
        <v>200</v>
      </c>
      <c r="G59" s="8" t="s">
        <v>201</v>
      </c>
      <c r="H59" s="8"/>
      <c r="I59" s="10"/>
      <c r="J59" s="10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 spans="1:29" ht="16.5" customHeight="1">
      <c r="A60" s="3" t="s">
        <v>202</v>
      </c>
      <c r="B60" s="3" t="s">
        <v>32</v>
      </c>
      <c r="C60" s="4" t="s">
        <v>203</v>
      </c>
      <c r="D60" s="3" t="s">
        <v>204</v>
      </c>
      <c r="E60" s="3" t="s">
        <v>32</v>
      </c>
      <c r="F60" s="4" t="s">
        <v>205</v>
      </c>
      <c r="G60" s="3" t="s">
        <v>122</v>
      </c>
      <c r="H60" s="3" t="s">
        <v>206</v>
      </c>
      <c r="I60" s="6"/>
      <c r="J60" s="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spans="1:29" ht="16.5" customHeight="1">
      <c r="A61" s="8" t="s">
        <v>207</v>
      </c>
      <c r="B61" s="8" t="s">
        <v>32</v>
      </c>
      <c r="C61" s="52" t="s">
        <v>208</v>
      </c>
      <c r="D61" s="8" t="s">
        <v>20</v>
      </c>
      <c r="E61" s="22"/>
      <c r="F61" s="22"/>
      <c r="G61" s="8" t="s">
        <v>209</v>
      </c>
      <c r="H61" s="8"/>
      <c r="I61" s="10"/>
      <c r="J61" s="10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</row>
    <row r="62" spans="1:29" ht="16.5" customHeight="1">
      <c r="A62" s="3" t="s">
        <v>210</v>
      </c>
      <c r="B62" s="3" t="s">
        <v>10</v>
      </c>
      <c r="C62" s="4" t="s">
        <v>211</v>
      </c>
      <c r="D62" s="3" t="s">
        <v>10</v>
      </c>
      <c r="E62" s="3" t="s">
        <v>10</v>
      </c>
      <c r="F62" s="4" t="s">
        <v>211</v>
      </c>
      <c r="G62" s="3" t="s">
        <v>23</v>
      </c>
      <c r="H62" s="3"/>
      <c r="I62" s="6"/>
      <c r="J62" s="6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spans="1:29" ht="16.5" customHeight="1">
      <c r="A63" s="8" t="s">
        <v>212</v>
      </c>
      <c r="B63" s="8" t="s">
        <v>81</v>
      </c>
      <c r="C63" s="52" t="s">
        <v>213</v>
      </c>
      <c r="D63" s="8" t="s">
        <v>81</v>
      </c>
      <c r="E63" s="8" t="s">
        <v>81</v>
      </c>
      <c r="F63" s="52" t="s">
        <v>213</v>
      </c>
      <c r="G63" s="22">
        <v>44659</v>
      </c>
      <c r="H63" s="8"/>
      <c r="I63" s="10"/>
      <c r="J63" s="10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29" ht="16.5" customHeight="1">
      <c r="A64" s="3" t="s">
        <v>214</v>
      </c>
      <c r="B64" s="3" t="s">
        <v>32</v>
      </c>
      <c r="C64" s="4" t="s">
        <v>215</v>
      </c>
      <c r="D64" s="3" t="s">
        <v>204</v>
      </c>
      <c r="E64" s="3"/>
      <c r="F64" s="3"/>
      <c r="G64" s="3"/>
      <c r="H64" s="3"/>
      <c r="I64" s="6"/>
      <c r="J64" s="6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spans="1:29" ht="16.5" customHeight="1">
      <c r="A65" s="8" t="s">
        <v>216</v>
      </c>
      <c r="B65" s="8" t="s">
        <v>32</v>
      </c>
      <c r="C65" s="55" t="s">
        <v>217</v>
      </c>
      <c r="D65" s="8" t="s">
        <v>218</v>
      </c>
      <c r="E65" s="22"/>
      <c r="F65" s="22"/>
      <c r="G65" s="22">
        <v>43587</v>
      </c>
      <c r="H65" s="8"/>
      <c r="I65" s="10"/>
      <c r="J65" s="10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</row>
    <row r="66" spans="1:29" ht="16.5" customHeight="1">
      <c r="A66" s="3" t="s">
        <v>219</v>
      </c>
      <c r="B66" s="3" t="s">
        <v>32</v>
      </c>
      <c r="C66" s="59" t="s">
        <v>220</v>
      </c>
      <c r="D66" s="3" t="s">
        <v>10</v>
      </c>
      <c r="E66" s="5"/>
      <c r="F66" s="5"/>
      <c r="G66" s="5">
        <v>43618</v>
      </c>
      <c r="H66" s="3"/>
      <c r="I66" s="6"/>
      <c r="J66" s="6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spans="1:29" ht="16.5" customHeight="1">
      <c r="A67" s="8" t="s">
        <v>221</v>
      </c>
      <c r="B67" s="8" t="s">
        <v>32</v>
      </c>
      <c r="C67" s="55" t="s">
        <v>222</v>
      </c>
      <c r="D67" s="8" t="s">
        <v>218</v>
      </c>
      <c r="E67" s="8" t="s">
        <v>32</v>
      </c>
      <c r="F67" s="53" t="s">
        <v>223</v>
      </c>
      <c r="G67" s="8" t="s">
        <v>224</v>
      </c>
      <c r="H67" s="8"/>
      <c r="I67" s="10"/>
      <c r="J67" s="10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</row>
    <row r="68" spans="1:29" ht="16.5" customHeight="1">
      <c r="A68" s="3" t="s">
        <v>225</v>
      </c>
      <c r="B68" s="3" t="s">
        <v>16</v>
      </c>
      <c r="C68" s="4" t="s">
        <v>226</v>
      </c>
      <c r="D68" s="3" t="s">
        <v>20</v>
      </c>
      <c r="E68" s="21"/>
      <c r="F68" s="21"/>
      <c r="G68" s="21">
        <v>43587</v>
      </c>
      <c r="H68" s="3"/>
      <c r="I68" s="38">
        <v>44849</v>
      </c>
      <c r="J68" s="54" t="s">
        <v>227</v>
      </c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spans="1:29" ht="16.5" customHeight="1">
      <c r="A69" s="8" t="s">
        <v>228</v>
      </c>
      <c r="B69" s="8" t="s">
        <v>10</v>
      </c>
      <c r="C69" s="55" t="s">
        <v>229</v>
      </c>
      <c r="D69" s="39"/>
      <c r="E69" s="40"/>
      <c r="F69" s="40"/>
      <c r="G69" s="22">
        <v>43648</v>
      </c>
      <c r="H69" s="8"/>
      <c r="I69" s="11"/>
      <c r="J69" s="10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</row>
    <row r="70" spans="1:29" ht="16.5" customHeight="1">
      <c r="A70" s="3" t="s">
        <v>230</v>
      </c>
      <c r="B70" s="3" t="s">
        <v>10</v>
      </c>
      <c r="C70" s="4" t="s">
        <v>231</v>
      </c>
      <c r="D70" s="3" t="s">
        <v>10</v>
      </c>
      <c r="E70" s="31"/>
      <c r="F70" s="31"/>
      <c r="G70" s="31">
        <v>44279</v>
      </c>
      <c r="H70" s="3"/>
      <c r="I70" s="6"/>
      <c r="J70" s="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spans="1:29" ht="16.5" customHeight="1">
      <c r="A71" s="8" t="s">
        <v>232</v>
      </c>
      <c r="B71" s="8" t="s">
        <v>10</v>
      </c>
      <c r="C71" s="52" t="s">
        <v>233</v>
      </c>
      <c r="D71" s="8" t="s">
        <v>10</v>
      </c>
      <c r="E71" s="8" t="s">
        <v>21</v>
      </c>
      <c r="F71" s="62" t="s">
        <v>234</v>
      </c>
      <c r="G71" s="14">
        <v>45383</v>
      </c>
      <c r="H71" s="8"/>
      <c r="I71" s="10"/>
      <c r="J71" s="10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</row>
    <row r="72" spans="1:29" ht="16.5" customHeight="1">
      <c r="A72" s="3" t="s">
        <v>235</v>
      </c>
      <c r="B72" s="3" t="s">
        <v>16</v>
      </c>
      <c r="C72" s="4" t="s">
        <v>236</v>
      </c>
      <c r="D72" s="3" t="s">
        <v>20</v>
      </c>
      <c r="E72" s="3" t="s">
        <v>21</v>
      </c>
      <c r="F72" s="63" t="s">
        <v>237</v>
      </c>
      <c r="G72" s="3" t="s">
        <v>201</v>
      </c>
      <c r="H72" s="3" t="s">
        <v>238</v>
      </c>
      <c r="I72" s="6"/>
      <c r="J72" s="6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spans="1:29" ht="16.5" customHeight="1">
      <c r="A73" s="8" t="s">
        <v>239</v>
      </c>
      <c r="B73" s="8" t="s">
        <v>16</v>
      </c>
      <c r="C73" s="52" t="s">
        <v>240</v>
      </c>
      <c r="D73" s="8"/>
      <c r="E73" s="8"/>
      <c r="F73" s="8"/>
      <c r="G73" s="8"/>
      <c r="H73" s="8"/>
      <c r="I73" s="10"/>
      <c r="J73" s="10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</row>
    <row r="74" spans="1:29" ht="16.5" customHeight="1">
      <c r="A74" s="3" t="s">
        <v>241</v>
      </c>
      <c r="B74" s="3" t="s">
        <v>10</v>
      </c>
      <c r="C74" s="4" t="s">
        <v>242</v>
      </c>
      <c r="D74" s="3"/>
      <c r="E74" s="5"/>
      <c r="F74" s="5"/>
      <c r="G74" s="5">
        <v>43771</v>
      </c>
      <c r="H74" s="3"/>
      <c r="I74" s="6"/>
      <c r="J74" s="6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spans="1:29" ht="16.5" customHeight="1">
      <c r="A75" s="8" t="s">
        <v>243</v>
      </c>
      <c r="B75" s="8" t="s">
        <v>16</v>
      </c>
      <c r="C75" s="55" t="s">
        <v>244</v>
      </c>
      <c r="D75" s="8" t="s">
        <v>10</v>
      </c>
      <c r="E75" s="8" t="s">
        <v>10</v>
      </c>
      <c r="F75" s="8"/>
      <c r="G75" s="8" t="s">
        <v>122</v>
      </c>
      <c r="H75" s="8"/>
      <c r="I75" s="10"/>
      <c r="J75" s="10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</row>
    <row r="76" spans="1:29" ht="16.5" customHeight="1">
      <c r="A76" s="3" t="s">
        <v>245</v>
      </c>
      <c r="B76" s="3" t="s">
        <v>32</v>
      </c>
      <c r="C76" s="59" t="s">
        <v>246</v>
      </c>
      <c r="D76" s="3" t="s">
        <v>247</v>
      </c>
      <c r="E76" s="3" t="s">
        <v>21</v>
      </c>
      <c r="F76" s="57" t="s">
        <v>248</v>
      </c>
      <c r="G76" s="3" t="s">
        <v>249</v>
      </c>
      <c r="H76" s="3" t="s">
        <v>250</v>
      </c>
      <c r="I76" s="6"/>
      <c r="J76" s="6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spans="1:29" ht="16.5" customHeight="1">
      <c r="A77" s="8" t="s">
        <v>251</v>
      </c>
      <c r="B77" s="8" t="s">
        <v>252</v>
      </c>
      <c r="C77" s="55" t="s">
        <v>253</v>
      </c>
      <c r="D77" s="8" t="s">
        <v>254</v>
      </c>
      <c r="E77" s="8" t="s">
        <v>255</v>
      </c>
      <c r="F77" s="52" t="s">
        <v>256</v>
      </c>
      <c r="G77" s="8" t="s">
        <v>249</v>
      </c>
      <c r="H77" s="8"/>
      <c r="I77" s="10"/>
      <c r="J77" s="10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</row>
    <row r="78" spans="1:29" ht="16.5" customHeight="1">
      <c r="A78" s="3" t="s">
        <v>257</v>
      </c>
      <c r="B78" s="3" t="s">
        <v>16</v>
      </c>
      <c r="C78" s="59" t="s">
        <v>258</v>
      </c>
      <c r="D78" s="3" t="s">
        <v>29</v>
      </c>
      <c r="E78" s="5"/>
      <c r="F78" s="41"/>
      <c r="G78" s="5">
        <v>43587</v>
      </c>
      <c r="H78" s="3"/>
      <c r="I78" s="6"/>
      <c r="J78" s="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29" ht="16.5" customHeight="1">
      <c r="A79" s="8" t="s">
        <v>259</v>
      </c>
      <c r="B79" s="8" t="s">
        <v>16</v>
      </c>
      <c r="C79" s="55" t="s">
        <v>260</v>
      </c>
      <c r="D79" s="8" t="s">
        <v>10</v>
      </c>
      <c r="E79" s="8" t="s">
        <v>10</v>
      </c>
      <c r="F79" s="14"/>
      <c r="G79" s="8" t="s">
        <v>261</v>
      </c>
      <c r="H79" s="8"/>
      <c r="I79" s="10"/>
      <c r="J79" s="10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</row>
    <row r="80" spans="1:29" ht="16.5" customHeight="1">
      <c r="A80" s="3" t="s">
        <v>262</v>
      </c>
      <c r="B80" s="3" t="s">
        <v>16</v>
      </c>
      <c r="C80" s="4" t="s">
        <v>263</v>
      </c>
      <c r="D80" s="3" t="s">
        <v>20</v>
      </c>
      <c r="E80" s="3" t="s">
        <v>21</v>
      </c>
      <c r="F80" s="54" t="s">
        <v>264</v>
      </c>
      <c r="G80" s="3" t="s">
        <v>122</v>
      </c>
      <c r="H80" s="3" t="s">
        <v>265</v>
      </c>
      <c r="I80" s="6"/>
      <c r="J80" s="6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1:29" ht="16.5" customHeight="1">
      <c r="A81" s="8" t="s">
        <v>266</v>
      </c>
      <c r="B81" s="8" t="s">
        <v>16</v>
      </c>
      <c r="C81" s="52" t="s">
        <v>267</v>
      </c>
      <c r="D81" s="8"/>
      <c r="E81" s="8"/>
      <c r="F81" s="8"/>
      <c r="G81" s="22">
        <v>44744</v>
      </c>
      <c r="H81" s="8" t="s">
        <v>268</v>
      </c>
      <c r="I81" s="10"/>
      <c r="J81" s="10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 spans="1:29" ht="16.5" customHeight="1">
      <c r="A82" s="3" t="s">
        <v>269</v>
      </c>
      <c r="B82" s="3" t="s">
        <v>32</v>
      </c>
      <c r="C82" s="4" t="s">
        <v>270</v>
      </c>
      <c r="D82" s="3" t="s">
        <v>29</v>
      </c>
      <c r="E82" s="5"/>
      <c r="F82" s="41"/>
      <c r="G82" s="3" t="s">
        <v>23</v>
      </c>
      <c r="H82" s="3"/>
      <c r="I82" s="26">
        <v>45047</v>
      </c>
      <c r="J82" s="54" t="s">
        <v>271</v>
      </c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spans="1:29" ht="16.5" customHeight="1">
      <c r="A83" s="8" t="s">
        <v>272</v>
      </c>
      <c r="B83" s="8" t="s">
        <v>16</v>
      </c>
      <c r="C83" s="52" t="s">
        <v>273</v>
      </c>
      <c r="D83" s="8" t="s">
        <v>29</v>
      </c>
      <c r="E83" s="22"/>
      <c r="F83" s="22"/>
      <c r="G83" s="22">
        <v>43557</v>
      </c>
      <c r="H83" s="8"/>
      <c r="I83" s="10"/>
      <c r="J83" s="10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</row>
    <row r="84" spans="1:29" ht="16.5" customHeight="1">
      <c r="A84" s="3" t="s">
        <v>274</v>
      </c>
      <c r="B84" s="3" t="s">
        <v>32</v>
      </c>
      <c r="C84" s="59" t="s">
        <v>275</v>
      </c>
      <c r="D84" s="3" t="s">
        <v>65</v>
      </c>
      <c r="E84" s="5"/>
      <c r="F84" s="5"/>
      <c r="G84" s="3" t="s">
        <v>276</v>
      </c>
      <c r="H84" s="3" t="s">
        <v>277</v>
      </c>
      <c r="I84" s="6"/>
      <c r="J84" s="6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spans="1:29" ht="16.5" customHeight="1">
      <c r="A85" s="8" t="s">
        <v>278</v>
      </c>
      <c r="B85" s="8" t="s">
        <v>16</v>
      </c>
      <c r="C85" s="55" t="s">
        <v>279</v>
      </c>
      <c r="D85" s="8" t="s">
        <v>29</v>
      </c>
      <c r="E85" s="8" t="s">
        <v>16</v>
      </c>
      <c r="F85" s="56" t="s">
        <v>280</v>
      </c>
      <c r="G85" s="22">
        <v>43557</v>
      </c>
      <c r="H85" s="8" t="s">
        <v>281</v>
      </c>
      <c r="I85" s="10"/>
      <c r="J85" s="10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</row>
    <row r="86" spans="1:29" ht="16.5" customHeight="1">
      <c r="A86" s="3" t="s">
        <v>282</v>
      </c>
      <c r="B86" s="3" t="s">
        <v>10</v>
      </c>
      <c r="C86" s="4" t="s">
        <v>283</v>
      </c>
      <c r="D86" s="3"/>
      <c r="E86" s="5"/>
      <c r="F86" s="5"/>
      <c r="G86" s="5">
        <v>43587</v>
      </c>
      <c r="H86" s="3"/>
      <c r="I86" s="6"/>
      <c r="J86" s="6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spans="1:29" ht="16.5" customHeight="1">
      <c r="A87" s="8" t="s">
        <v>284</v>
      </c>
      <c r="B87" s="8" t="s">
        <v>16</v>
      </c>
      <c r="C87" s="52" t="s">
        <v>285</v>
      </c>
      <c r="D87" s="8" t="s">
        <v>286</v>
      </c>
      <c r="E87" s="8"/>
      <c r="F87" s="42"/>
      <c r="G87" s="8"/>
      <c r="H87" s="8"/>
      <c r="I87" s="10"/>
      <c r="J87" s="10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</row>
    <row r="88" spans="1:29" ht="16.5" customHeight="1">
      <c r="A88" s="3" t="s">
        <v>287</v>
      </c>
      <c r="B88" s="3" t="s">
        <v>10</v>
      </c>
      <c r="C88" s="4" t="s">
        <v>288</v>
      </c>
      <c r="D88" s="3" t="s">
        <v>10</v>
      </c>
      <c r="E88" s="3" t="s">
        <v>16</v>
      </c>
      <c r="F88" s="4" t="s">
        <v>289</v>
      </c>
      <c r="G88" s="3" t="s">
        <v>290</v>
      </c>
      <c r="H88" s="3"/>
      <c r="I88" s="6"/>
      <c r="J88" s="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spans="1:29" ht="16.5" customHeight="1">
      <c r="A89" s="8" t="s">
        <v>291</v>
      </c>
      <c r="B89" s="8" t="s">
        <v>16</v>
      </c>
      <c r="C89" s="52" t="s">
        <v>292</v>
      </c>
      <c r="D89" s="8" t="s">
        <v>29</v>
      </c>
      <c r="E89" s="22"/>
      <c r="F89" s="22"/>
      <c r="G89" s="22">
        <v>43587</v>
      </c>
      <c r="H89" s="8" t="s">
        <v>293</v>
      </c>
      <c r="I89" s="10"/>
      <c r="J89" s="10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</row>
    <row r="90" spans="1:29" ht="16.5" customHeight="1">
      <c r="A90" s="3" t="s">
        <v>294</v>
      </c>
      <c r="B90" s="3" t="s">
        <v>32</v>
      </c>
      <c r="C90" s="59" t="s">
        <v>295</v>
      </c>
      <c r="D90" s="3" t="s">
        <v>296</v>
      </c>
      <c r="E90" s="3" t="s">
        <v>32</v>
      </c>
      <c r="F90" s="4" t="s">
        <v>295</v>
      </c>
      <c r="G90" s="5">
        <v>45597</v>
      </c>
      <c r="H90" s="3" t="s">
        <v>297</v>
      </c>
      <c r="I90" s="26">
        <v>45017</v>
      </c>
      <c r="J90" s="54" t="s">
        <v>298</v>
      </c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spans="1:29" ht="16.5" customHeight="1">
      <c r="A91" s="8" t="s">
        <v>299</v>
      </c>
      <c r="B91" s="8" t="s">
        <v>16</v>
      </c>
      <c r="C91" s="52" t="s">
        <v>300</v>
      </c>
      <c r="D91" s="8" t="s">
        <v>204</v>
      </c>
      <c r="E91" s="8" t="s">
        <v>16</v>
      </c>
      <c r="F91" s="52" t="s">
        <v>301</v>
      </c>
      <c r="G91" s="16">
        <v>43587</v>
      </c>
      <c r="H91" s="8"/>
      <c r="I91" s="10"/>
      <c r="J91" s="10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</row>
    <row r="92" spans="1:29" ht="16.5" customHeight="1">
      <c r="A92" s="3" t="s">
        <v>302</v>
      </c>
      <c r="B92" s="3" t="s">
        <v>32</v>
      </c>
      <c r="C92" s="4" t="s">
        <v>303</v>
      </c>
      <c r="D92" s="3" t="s">
        <v>304</v>
      </c>
      <c r="E92" s="3" t="s">
        <v>304</v>
      </c>
      <c r="F92" s="3"/>
      <c r="G92" s="3" t="s">
        <v>305</v>
      </c>
      <c r="H92" s="3"/>
      <c r="I92" s="6"/>
      <c r="J92" s="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spans="1:29" ht="16.5" customHeight="1">
      <c r="A93" s="8" t="s">
        <v>306</v>
      </c>
      <c r="B93" s="8" t="s">
        <v>32</v>
      </c>
      <c r="C93" s="52" t="s">
        <v>307</v>
      </c>
      <c r="D93" s="8" t="s">
        <v>308</v>
      </c>
      <c r="E93" s="8" t="s">
        <v>308</v>
      </c>
      <c r="F93" s="8"/>
      <c r="G93" s="8" t="s">
        <v>122</v>
      </c>
      <c r="H93" s="8"/>
      <c r="I93" s="10"/>
      <c r="J93" s="10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</row>
    <row r="94" spans="1:29" ht="16.5" customHeight="1">
      <c r="A94" s="3" t="s">
        <v>309</v>
      </c>
      <c r="B94" s="3" t="s">
        <v>32</v>
      </c>
      <c r="C94" s="4" t="s">
        <v>310</v>
      </c>
      <c r="D94" s="3" t="s">
        <v>204</v>
      </c>
      <c r="E94" s="3" t="s">
        <v>204</v>
      </c>
      <c r="F94" s="3" t="s">
        <v>204</v>
      </c>
      <c r="G94" s="3" t="s">
        <v>122</v>
      </c>
      <c r="H94" s="3"/>
      <c r="I94" s="6"/>
      <c r="J94" s="6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spans="1:29" ht="16.5" customHeight="1">
      <c r="A95" s="8" t="s">
        <v>311</v>
      </c>
      <c r="B95" s="8" t="s">
        <v>16</v>
      </c>
      <c r="C95" s="52" t="s">
        <v>312</v>
      </c>
      <c r="D95" s="8" t="s">
        <v>29</v>
      </c>
      <c r="E95" s="8"/>
      <c r="F95" s="8"/>
      <c r="G95" s="8"/>
      <c r="H95" s="8"/>
      <c r="I95" s="10"/>
      <c r="J95" s="10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</row>
    <row r="96" spans="1:29" ht="16.5" customHeight="1">
      <c r="A96" s="3" t="s">
        <v>313</v>
      </c>
      <c r="B96" s="3" t="s">
        <v>16</v>
      </c>
      <c r="C96" s="59" t="s">
        <v>314</v>
      </c>
      <c r="D96" s="3" t="s">
        <v>10</v>
      </c>
      <c r="E96" s="3"/>
      <c r="F96" s="3"/>
      <c r="G96" s="3" t="s">
        <v>315</v>
      </c>
      <c r="H96" s="3"/>
      <c r="I96" s="6"/>
      <c r="J96" s="6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spans="1:29" ht="16.5" customHeight="1">
      <c r="A97" s="8" t="s">
        <v>316</v>
      </c>
      <c r="B97" s="8" t="s">
        <v>117</v>
      </c>
      <c r="C97" s="55" t="s">
        <v>317</v>
      </c>
      <c r="D97" s="8"/>
      <c r="E97" s="8" t="s">
        <v>117</v>
      </c>
      <c r="F97" s="52" t="s">
        <v>317</v>
      </c>
      <c r="G97" s="8" t="s">
        <v>318</v>
      </c>
      <c r="H97" s="8" t="s">
        <v>319</v>
      </c>
      <c r="I97" s="10"/>
      <c r="J97" s="10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</row>
    <row r="98" spans="1:29" ht="16.5" customHeight="1">
      <c r="A98" s="3" t="s">
        <v>320</v>
      </c>
      <c r="B98" s="3" t="s">
        <v>32</v>
      </c>
      <c r="C98" s="43" t="s">
        <v>321</v>
      </c>
      <c r="D98" s="3" t="s">
        <v>29</v>
      </c>
      <c r="E98" s="3" t="s">
        <v>32</v>
      </c>
      <c r="F98" s="4" t="s">
        <v>322</v>
      </c>
      <c r="G98" s="5">
        <v>45413</v>
      </c>
      <c r="H98" s="3" t="s">
        <v>323</v>
      </c>
      <c r="I98" s="26">
        <v>44562</v>
      </c>
      <c r="J98" s="54" t="s">
        <v>324</v>
      </c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spans="1:29" ht="16.5" customHeight="1">
      <c r="A99" s="8" t="s">
        <v>325</v>
      </c>
      <c r="B99" s="8" t="s">
        <v>16</v>
      </c>
      <c r="C99" s="52" t="s">
        <v>326</v>
      </c>
      <c r="D99" s="8" t="s">
        <v>29</v>
      </c>
      <c r="E99" s="8"/>
      <c r="F99" s="8"/>
      <c r="G99" s="8"/>
      <c r="H99" s="8"/>
      <c r="I99" s="10"/>
      <c r="J99" s="10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</row>
    <row r="100" spans="1:29" ht="16.5" customHeight="1">
      <c r="A100" s="3" t="s">
        <v>327</v>
      </c>
      <c r="B100" s="3" t="s">
        <v>32</v>
      </c>
      <c r="C100" s="59" t="s">
        <v>328</v>
      </c>
      <c r="D100" s="3" t="s">
        <v>20</v>
      </c>
      <c r="E100" s="5"/>
      <c r="F100" s="5"/>
      <c r="G100" s="3" t="s">
        <v>201</v>
      </c>
      <c r="H100" s="3"/>
      <c r="I100" s="26">
        <v>45292</v>
      </c>
      <c r="J100" s="54" t="s">
        <v>329</v>
      </c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</row>
    <row r="101" spans="1:29" ht="16.5" customHeight="1">
      <c r="A101" s="8" t="s">
        <v>330</v>
      </c>
      <c r="B101" s="8" t="s">
        <v>16</v>
      </c>
      <c r="C101" s="55" t="s">
        <v>331</v>
      </c>
      <c r="D101" s="8" t="s">
        <v>332</v>
      </c>
      <c r="E101" s="8" t="s">
        <v>16</v>
      </c>
      <c r="F101" s="52" t="s">
        <v>333</v>
      </c>
      <c r="G101" s="22">
        <v>45235</v>
      </c>
      <c r="H101" s="8"/>
      <c r="I101" s="10"/>
      <c r="J101" s="10"/>
      <c r="K101" s="45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</row>
    <row r="102" spans="1:29" ht="16.5" customHeight="1">
      <c r="A102" s="3" t="s">
        <v>334</v>
      </c>
      <c r="B102" s="3" t="s">
        <v>16</v>
      </c>
      <c r="C102" s="4" t="s">
        <v>335</v>
      </c>
      <c r="D102" s="3"/>
      <c r="E102" s="5"/>
      <c r="F102" s="5"/>
      <c r="G102" s="3" t="s">
        <v>336</v>
      </c>
      <c r="H102" s="3" t="s">
        <v>337</v>
      </c>
      <c r="I102" s="6"/>
      <c r="J102" s="6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spans="1:29" ht="16.5" customHeight="1">
      <c r="A103" s="8" t="s">
        <v>338</v>
      </c>
      <c r="B103" s="8" t="s">
        <v>32</v>
      </c>
      <c r="C103" s="55" t="s">
        <v>339</v>
      </c>
      <c r="D103" s="8" t="s">
        <v>29</v>
      </c>
      <c r="E103" s="8" t="s">
        <v>32</v>
      </c>
      <c r="F103" s="52" t="s">
        <v>339</v>
      </c>
      <c r="G103" s="8" t="s">
        <v>340</v>
      </c>
      <c r="H103" s="8"/>
      <c r="I103" s="10"/>
      <c r="J103" s="10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</row>
    <row r="104" spans="1:29" ht="16.5" customHeight="1">
      <c r="A104" s="3" t="s">
        <v>341</v>
      </c>
      <c r="B104" s="3" t="s">
        <v>16</v>
      </c>
      <c r="C104" s="4" t="s">
        <v>342</v>
      </c>
      <c r="D104" s="3" t="s">
        <v>343</v>
      </c>
      <c r="E104" s="21"/>
      <c r="F104" s="21"/>
      <c r="G104" s="21">
        <v>43618</v>
      </c>
      <c r="H104" s="46" t="s">
        <v>344</v>
      </c>
      <c r="I104" s="6"/>
      <c r="J104" s="6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spans="1:29" ht="16.5" customHeight="1">
      <c r="A105" s="8" t="s">
        <v>345</v>
      </c>
      <c r="B105" s="8" t="s">
        <v>16</v>
      </c>
      <c r="C105" s="52" t="s">
        <v>346</v>
      </c>
      <c r="D105" s="8" t="s">
        <v>347</v>
      </c>
      <c r="E105" s="8" t="s">
        <v>16</v>
      </c>
      <c r="F105" s="64" t="s">
        <v>348</v>
      </c>
      <c r="G105" s="22">
        <v>44297</v>
      </c>
      <c r="H105" s="8"/>
      <c r="I105" s="10"/>
      <c r="J105" s="10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</row>
    <row r="106" spans="1:29" ht="16.5" customHeight="1">
      <c r="A106" s="3" t="s">
        <v>349</v>
      </c>
      <c r="B106" s="3" t="s">
        <v>16</v>
      </c>
      <c r="C106" s="59" t="s">
        <v>350</v>
      </c>
      <c r="D106" s="3" t="s">
        <v>20</v>
      </c>
      <c r="E106" s="3" t="s">
        <v>16</v>
      </c>
      <c r="F106" s="4" t="s">
        <v>351</v>
      </c>
      <c r="G106" s="3" t="s">
        <v>352</v>
      </c>
      <c r="H106" s="3" t="s">
        <v>353</v>
      </c>
      <c r="I106" s="26">
        <v>44927</v>
      </c>
      <c r="J106" s="54" t="s">
        <v>354</v>
      </c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spans="1:29" ht="16.5" customHeight="1">
      <c r="A107" s="8" t="s">
        <v>355</v>
      </c>
      <c r="B107" s="8" t="s">
        <v>21</v>
      </c>
      <c r="C107" s="55" t="s">
        <v>356</v>
      </c>
      <c r="D107" s="8" t="s">
        <v>20</v>
      </c>
      <c r="E107" s="8" t="s">
        <v>21</v>
      </c>
      <c r="F107" s="47" t="s">
        <v>357</v>
      </c>
      <c r="G107" s="8" t="s">
        <v>358</v>
      </c>
      <c r="H107" s="8" t="s">
        <v>359</v>
      </c>
      <c r="I107" s="10"/>
      <c r="J107" s="10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</row>
    <row r="108" spans="1:29" ht="16.5" customHeight="1">
      <c r="A108" s="3" t="s">
        <v>360</v>
      </c>
      <c r="B108" s="3" t="s">
        <v>16</v>
      </c>
      <c r="C108" s="4" t="s">
        <v>361</v>
      </c>
      <c r="D108" s="3"/>
      <c r="E108" s="5"/>
      <c r="F108" s="5"/>
      <c r="G108" s="3" t="s">
        <v>362</v>
      </c>
      <c r="H108" s="3"/>
      <c r="I108" s="6"/>
      <c r="J108" s="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spans="1:29" ht="16.5" customHeight="1">
      <c r="A109" s="8" t="s">
        <v>363</v>
      </c>
      <c r="B109" s="8" t="s">
        <v>16</v>
      </c>
      <c r="C109" s="52" t="s">
        <v>364</v>
      </c>
      <c r="D109" s="8" t="s">
        <v>20</v>
      </c>
      <c r="E109" s="42" t="s">
        <v>16</v>
      </c>
      <c r="F109" s="65" t="s">
        <v>365</v>
      </c>
      <c r="G109" s="8" t="s">
        <v>366</v>
      </c>
      <c r="H109" s="8" t="s">
        <v>367</v>
      </c>
      <c r="I109" s="32">
        <v>44950</v>
      </c>
      <c r="J109" s="56" t="s">
        <v>368</v>
      </c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</row>
    <row r="110" spans="1:29" ht="16.5" customHeight="1">
      <c r="A110" s="3" t="s">
        <v>369</v>
      </c>
      <c r="B110" s="3" t="s">
        <v>16</v>
      </c>
      <c r="C110" s="4" t="s">
        <v>370</v>
      </c>
      <c r="D110" s="3" t="s">
        <v>29</v>
      </c>
      <c r="E110" s="5"/>
      <c r="F110" s="41"/>
      <c r="G110" s="5">
        <v>43587</v>
      </c>
      <c r="H110" s="3"/>
      <c r="I110" s="26">
        <v>44986</v>
      </c>
      <c r="J110" s="54" t="s">
        <v>371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spans="1:29" ht="16.5" customHeight="1">
      <c r="A111" s="8" t="s">
        <v>372</v>
      </c>
      <c r="B111" s="8" t="s">
        <v>16</v>
      </c>
      <c r="C111" s="52" t="s">
        <v>373</v>
      </c>
      <c r="D111" s="8" t="s">
        <v>29</v>
      </c>
      <c r="E111" s="22"/>
      <c r="F111" s="22"/>
      <c r="G111" s="22">
        <v>43618</v>
      </c>
      <c r="H111" s="8" t="s">
        <v>374</v>
      </c>
      <c r="I111" s="10"/>
      <c r="J111" s="10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</row>
    <row r="112" spans="1:29" ht="16.5" customHeight="1">
      <c r="A112" s="3" t="s">
        <v>375</v>
      </c>
      <c r="B112" s="3" t="s">
        <v>16</v>
      </c>
      <c r="C112" s="4" t="s">
        <v>376</v>
      </c>
      <c r="D112" s="3" t="s">
        <v>81</v>
      </c>
      <c r="E112" s="3" t="s">
        <v>32</v>
      </c>
      <c r="F112" s="54" t="s">
        <v>377</v>
      </c>
      <c r="G112" s="5">
        <v>43648</v>
      </c>
      <c r="H112" s="3" t="s">
        <v>378</v>
      </c>
      <c r="I112" s="6"/>
      <c r="J112" s="6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spans="1:29" ht="16.5" customHeight="1">
      <c r="A113" s="8" t="s">
        <v>379</v>
      </c>
      <c r="B113" s="8" t="s">
        <v>109</v>
      </c>
      <c r="C113" s="55" t="s">
        <v>380</v>
      </c>
      <c r="D113" s="8" t="s">
        <v>381</v>
      </c>
      <c r="E113" s="8" t="s">
        <v>382</v>
      </c>
      <c r="F113" s="64" t="s">
        <v>383</v>
      </c>
      <c r="G113" s="8" t="s">
        <v>384</v>
      </c>
      <c r="H113" s="8" t="s">
        <v>385</v>
      </c>
      <c r="I113" s="32">
        <v>44957</v>
      </c>
      <c r="J113" s="56" t="s">
        <v>386</v>
      </c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</row>
    <row r="114" spans="1:29" ht="16.5" customHeight="1">
      <c r="A114" s="3" t="s">
        <v>387</v>
      </c>
      <c r="B114" s="3" t="s">
        <v>32</v>
      </c>
      <c r="C114" s="59" t="s">
        <v>388</v>
      </c>
      <c r="D114" s="3" t="s">
        <v>20</v>
      </c>
      <c r="E114" s="3"/>
      <c r="F114" s="3"/>
      <c r="G114" s="3" t="s">
        <v>23</v>
      </c>
      <c r="H114" s="3"/>
      <c r="I114" s="6"/>
      <c r="J114" s="6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spans="1:29" ht="16.5" customHeight="1">
      <c r="A115" s="8" t="s">
        <v>389</v>
      </c>
      <c r="B115" s="8" t="s">
        <v>16</v>
      </c>
      <c r="C115" s="55" t="s">
        <v>390</v>
      </c>
      <c r="D115" s="8" t="s">
        <v>10</v>
      </c>
      <c r="E115" s="8" t="s">
        <v>10</v>
      </c>
      <c r="F115" s="53" t="s">
        <v>391</v>
      </c>
      <c r="G115" s="8" t="s">
        <v>122</v>
      </c>
      <c r="H115" s="8" t="s">
        <v>392</v>
      </c>
      <c r="I115" s="10"/>
      <c r="J115" s="10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</row>
    <row r="116" spans="1:29" ht="16.5" customHeight="1">
      <c r="A116" s="3" t="s">
        <v>393</v>
      </c>
      <c r="B116" s="3" t="s">
        <v>16</v>
      </c>
      <c r="C116" s="4" t="s">
        <v>394</v>
      </c>
      <c r="D116" s="3" t="s">
        <v>204</v>
      </c>
      <c r="E116" s="3" t="s">
        <v>16</v>
      </c>
      <c r="F116" s="4" t="s">
        <v>395</v>
      </c>
      <c r="G116" s="5">
        <v>44713</v>
      </c>
      <c r="H116" s="3"/>
      <c r="I116" s="6"/>
      <c r="J116" s="6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spans="1:29" ht="16.5" customHeight="1">
      <c r="A117" s="8" t="s">
        <v>396</v>
      </c>
      <c r="B117" s="8" t="s">
        <v>252</v>
      </c>
      <c r="C117" s="52" t="s">
        <v>397</v>
      </c>
      <c r="D117" s="8"/>
      <c r="E117" s="8"/>
      <c r="F117" s="8"/>
      <c r="G117" s="8"/>
      <c r="H117" s="8"/>
      <c r="I117" s="10"/>
      <c r="J117" s="10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</row>
    <row r="118" spans="1:29" ht="16.5" customHeight="1">
      <c r="A118" s="3" t="s">
        <v>398</v>
      </c>
      <c r="B118" s="3" t="s">
        <v>81</v>
      </c>
      <c r="C118" s="4" t="s">
        <v>399</v>
      </c>
      <c r="D118" s="3" t="s">
        <v>81</v>
      </c>
      <c r="E118" s="3" t="s">
        <v>21</v>
      </c>
      <c r="F118" s="54" t="s">
        <v>400</v>
      </c>
      <c r="G118" s="3" t="s">
        <v>261</v>
      </c>
      <c r="H118" s="3"/>
      <c r="I118" s="46"/>
      <c r="J118" s="46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spans="1:29" ht="16.5" customHeight="1">
      <c r="A119" s="8" t="s">
        <v>401</v>
      </c>
      <c r="B119" s="8" t="s">
        <v>16</v>
      </c>
      <c r="C119" s="55" t="s">
        <v>350</v>
      </c>
      <c r="D119" s="8" t="s">
        <v>20</v>
      </c>
      <c r="E119" s="8" t="s">
        <v>21</v>
      </c>
      <c r="F119" s="56" t="s">
        <v>402</v>
      </c>
      <c r="G119" s="22">
        <v>43557</v>
      </c>
      <c r="H119" s="8"/>
      <c r="I119" s="32">
        <v>44943</v>
      </c>
      <c r="J119" s="66" t="s">
        <v>403</v>
      </c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</row>
    <row r="120" spans="1:29" ht="16.5" customHeight="1">
      <c r="A120" s="3" t="s">
        <v>404</v>
      </c>
      <c r="B120" s="3" t="s">
        <v>16</v>
      </c>
      <c r="C120" s="4" t="s">
        <v>405</v>
      </c>
      <c r="D120" s="3" t="s">
        <v>29</v>
      </c>
      <c r="E120" s="3" t="s">
        <v>16</v>
      </c>
      <c r="F120" s="4" t="s">
        <v>405</v>
      </c>
      <c r="G120" s="3" t="s">
        <v>406</v>
      </c>
      <c r="H120" s="3" t="s">
        <v>407</v>
      </c>
      <c r="I120" s="6"/>
      <c r="J120" s="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spans="1:29" ht="16.5" customHeight="1">
      <c r="A121" s="8" t="s">
        <v>408</v>
      </c>
      <c r="B121" s="8" t="s">
        <v>32</v>
      </c>
      <c r="C121" s="52" t="s">
        <v>409</v>
      </c>
      <c r="D121" s="8" t="s">
        <v>10</v>
      </c>
      <c r="E121" s="8" t="s">
        <v>10</v>
      </c>
      <c r="F121" s="12" t="s">
        <v>410</v>
      </c>
      <c r="G121" s="8" t="s">
        <v>23</v>
      </c>
      <c r="H121" s="8" t="s">
        <v>411</v>
      </c>
      <c r="I121" s="32">
        <v>44958</v>
      </c>
      <c r="J121" s="56" t="s">
        <v>412</v>
      </c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</row>
    <row r="122" spans="1:29" ht="16.5" customHeight="1">
      <c r="A122" s="3" t="s">
        <v>413</v>
      </c>
      <c r="B122" s="3" t="s">
        <v>16</v>
      </c>
      <c r="C122" s="4" t="s">
        <v>414</v>
      </c>
      <c r="D122" s="3" t="s">
        <v>81</v>
      </c>
      <c r="E122" s="3" t="s">
        <v>32</v>
      </c>
      <c r="F122" s="54" t="s">
        <v>415</v>
      </c>
      <c r="G122" s="5">
        <v>43557</v>
      </c>
      <c r="H122" s="3" t="s">
        <v>416</v>
      </c>
      <c r="I122" s="6"/>
      <c r="J122" s="6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spans="1:29" ht="16.5" customHeight="1">
      <c r="A123" s="8" t="s">
        <v>417</v>
      </c>
      <c r="B123" s="8" t="s">
        <v>418</v>
      </c>
      <c r="C123" s="64" t="s">
        <v>419</v>
      </c>
      <c r="D123" s="8" t="s">
        <v>204</v>
      </c>
      <c r="E123" s="8"/>
      <c r="F123" s="42"/>
      <c r="G123" s="8"/>
      <c r="H123" s="8"/>
      <c r="I123" s="10"/>
      <c r="J123" s="10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</row>
    <row r="124" spans="1:29" ht="16.5" customHeight="1">
      <c r="A124" s="3" t="s">
        <v>420</v>
      </c>
      <c r="B124" s="3" t="s">
        <v>16</v>
      </c>
      <c r="C124" s="4" t="s">
        <v>246</v>
      </c>
      <c r="D124" s="3" t="s">
        <v>20</v>
      </c>
      <c r="E124" s="3" t="s">
        <v>21</v>
      </c>
      <c r="F124" s="4" t="s">
        <v>248</v>
      </c>
      <c r="G124" s="3" t="s">
        <v>421</v>
      </c>
      <c r="H124" s="3"/>
      <c r="I124" s="6"/>
      <c r="J124" s="6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spans="1:29" ht="16.5" customHeight="1">
      <c r="A125" s="8" t="s">
        <v>422</v>
      </c>
      <c r="B125" s="8" t="s">
        <v>16</v>
      </c>
      <c r="C125" s="52" t="s">
        <v>423</v>
      </c>
      <c r="D125" s="8" t="s">
        <v>20</v>
      </c>
      <c r="E125" s="8" t="s">
        <v>21</v>
      </c>
      <c r="F125" s="8"/>
      <c r="G125" s="22">
        <v>45200</v>
      </c>
      <c r="H125" s="8"/>
      <c r="I125" s="10"/>
      <c r="J125" s="10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 spans="1:29" ht="42.75" customHeight="1">
      <c r="A126" s="3" t="s">
        <v>424</v>
      </c>
      <c r="B126" s="3" t="s">
        <v>16</v>
      </c>
      <c r="C126" s="48" t="s">
        <v>425</v>
      </c>
      <c r="D126" s="3" t="s">
        <v>81</v>
      </c>
      <c r="E126" s="3" t="s">
        <v>16</v>
      </c>
      <c r="F126" s="48" t="s">
        <v>426</v>
      </c>
      <c r="G126" s="3" t="s">
        <v>427</v>
      </c>
      <c r="H126" s="3" t="s">
        <v>428</v>
      </c>
      <c r="I126" s="6"/>
      <c r="J126" s="6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spans="1:29" ht="16.5" customHeight="1">
      <c r="A127" s="8" t="s">
        <v>429</v>
      </c>
      <c r="B127" s="8" t="s">
        <v>16</v>
      </c>
      <c r="C127" s="53" t="s">
        <v>430</v>
      </c>
      <c r="D127" s="8" t="s">
        <v>10</v>
      </c>
      <c r="E127" s="8" t="s">
        <v>10</v>
      </c>
      <c r="F127" s="53" t="s">
        <v>430</v>
      </c>
      <c r="G127" s="33">
        <v>43562</v>
      </c>
      <c r="H127" s="8"/>
      <c r="I127" s="10"/>
      <c r="J127" s="10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</row>
    <row r="128" spans="1:29" ht="16.5" customHeight="1">
      <c r="A128" s="3" t="s">
        <v>431</v>
      </c>
      <c r="B128" s="3" t="s">
        <v>16</v>
      </c>
      <c r="C128" s="4" t="s">
        <v>432</v>
      </c>
      <c r="D128" s="3" t="s">
        <v>433</v>
      </c>
      <c r="E128" s="3" t="s">
        <v>16</v>
      </c>
      <c r="F128" s="5"/>
      <c r="G128" s="21">
        <v>44511</v>
      </c>
      <c r="H128" s="3" t="s">
        <v>434</v>
      </c>
      <c r="I128" s="6"/>
      <c r="J128" s="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spans="1:29" ht="16.5" customHeight="1">
      <c r="A129" s="8" t="s">
        <v>435</v>
      </c>
      <c r="B129" s="8" t="s">
        <v>16</v>
      </c>
      <c r="C129" s="52" t="s">
        <v>436</v>
      </c>
      <c r="D129" s="8" t="s">
        <v>204</v>
      </c>
      <c r="E129" s="8" t="s">
        <v>204</v>
      </c>
      <c r="F129" s="8" t="s">
        <v>204</v>
      </c>
      <c r="G129" s="8" t="s">
        <v>336</v>
      </c>
      <c r="H129" s="8" t="s">
        <v>437</v>
      </c>
      <c r="I129" s="10"/>
      <c r="J129" s="10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 spans="1:29" ht="16.5" customHeight="1">
      <c r="A130" s="3" t="s">
        <v>438</v>
      </c>
      <c r="B130" s="3" t="s">
        <v>117</v>
      </c>
      <c r="C130" s="4" t="s">
        <v>439</v>
      </c>
      <c r="D130" s="3"/>
      <c r="E130" s="5"/>
      <c r="F130" s="5"/>
      <c r="G130" s="5">
        <v>43648</v>
      </c>
      <c r="H130" s="3"/>
      <c r="I130" s="6"/>
      <c r="J130" s="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spans="1:29" ht="16.5" customHeight="1">
      <c r="A131" s="8" t="s">
        <v>440</v>
      </c>
      <c r="B131" s="8" t="s">
        <v>16</v>
      </c>
      <c r="C131" s="52" t="s">
        <v>441</v>
      </c>
      <c r="D131" s="8" t="s">
        <v>29</v>
      </c>
      <c r="E131" s="14"/>
      <c r="F131" s="14"/>
      <c r="G131" s="14">
        <v>43587</v>
      </c>
      <c r="H131" s="8"/>
      <c r="I131" s="10"/>
      <c r="J131" s="10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 spans="1:29" ht="16.5" customHeight="1">
      <c r="A132" s="3" t="s">
        <v>442</v>
      </c>
      <c r="B132" s="3" t="s">
        <v>16</v>
      </c>
      <c r="C132" s="4" t="s">
        <v>443</v>
      </c>
      <c r="D132" s="3" t="s">
        <v>20</v>
      </c>
      <c r="E132" s="5"/>
      <c r="F132" s="5"/>
      <c r="G132" s="5">
        <v>43557</v>
      </c>
      <c r="H132" s="3"/>
      <c r="I132" s="6"/>
      <c r="J132" s="6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spans="1:29" ht="16.5" customHeight="1">
      <c r="A133" s="8" t="s">
        <v>444</v>
      </c>
      <c r="B133" s="8" t="s">
        <v>16</v>
      </c>
      <c r="C133" s="52" t="s">
        <v>445</v>
      </c>
      <c r="D133" s="8" t="s">
        <v>29</v>
      </c>
      <c r="E133" s="8" t="s">
        <v>204</v>
      </c>
      <c r="F133" s="8" t="s">
        <v>204</v>
      </c>
      <c r="G133" s="22">
        <v>43587</v>
      </c>
      <c r="H133" s="8" t="s">
        <v>446</v>
      </c>
      <c r="I133" s="10"/>
      <c r="J133" s="10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 spans="1:29" ht="16.5" customHeight="1">
      <c r="A134" s="3" t="s">
        <v>447</v>
      </c>
      <c r="B134" s="3" t="s">
        <v>16</v>
      </c>
      <c r="C134" s="4" t="s">
        <v>350</v>
      </c>
      <c r="D134" s="3" t="s">
        <v>10</v>
      </c>
      <c r="E134" s="3" t="s">
        <v>10</v>
      </c>
      <c r="F134" s="4" t="s">
        <v>448</v>
      </c>
      <c r="G134" s="3" t="s">
        <v>23</v>
      </c>
      <c r="H134" s="3"/>
      <c r="I134" s="26">
        <v>44950</v>
      </c>
      <c r="J134" s="54" t="s">
        <v>368</v>
      </c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spans="1:29" ht="16.5" customHeight="1">
      <c r="A135" s="8" t="s">
        <v>449</v>
      </c>
      <c r="B135" s="8" t="s">
        <v>81</v>
      </c>
      <c r="C135" s="52" t="s">
        <v>450</v>
      </c>
      <c r="D135" s="8"/>
      <c r="E135" s="8"/>
      <c r="F135" s="8"/>
      <c r="G135" s="8"/>
      <c r="H135" s="8"/>
      <c r="I135" s="10"/>
      <c r="J135" s="10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</row>
    <row r="136" spans="1:29" ht="16.5" customHeight="1">
      <c r="A136" s="3"/>
      <c r="B136" s="3"/>
      <c r="C136" s="36"/>
      <c r="D136" s="3"/>
      <c r="E136" s="5"/>
      <c r="F136" s="5"/>
      <c r="G136" s="5">
        <v>43587</v>
      </c>
      <c r="H136" s="49"/>
      <c r="I136" s="6"/>
      <c r="J136" s="6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</row>
  </sheetData>
  <autoFilter ref="A1:J136" xr:uid="{00000000-0009-0000-0000-000000000000}"/>
  <customSheetViews>
    <customSheetView guid="{F81B1DFC-F50A-4F64-941C-3C588FA83BF7}" filter="1" showAutoFilter="1">
      <pageMargins left="0" right="0" top="0" bottom="0" header="0" footer="0"/>
      <autoFilter ref="A137" xr:uid="{503DAF69-7FB9-41C6-AEF9-FDD322C38C35}"/>
    </customSheetView>
  </customSheetViews>
  <hyperlinks>
    <hyperlink ref="C2" r:id="rId1" xr:uid="{00000000-0004-0000-0000-000000000000}"/>
    <hyperlink ref="F2" r:id="rId2" xr:uid="{00000000-0004-0000-0000-000001000000}"/>
    <hyperlink ref="C3" r:id="rId3" xr:uid="{00000000-0004-0000-0000-000002000000}"/>
    <hyperlink ref="F3" r:id="rId4" xr:uid="{00000000-0004-0000-0000-000003000000}"/>
    <hyperlink ref="C5" r:id="rId5" xr:uid="{00000000-0004-0000-0000-000004000000}"/>
    <hyperlink ref="F5" r:id="rId6" xr:uid="{00000000-0004-0000-0000-000005000000}"/>
    <hyperlink ref="C6" r:id="rId7" xr:uid="{00000000-0004-0000-0000-000006000000}"/>
    <hyperlink ref="C7" r:id="rId8" xr:uid="{00000000-0004-0000-0000-000007000000}"/>
    <hyperlink ref="F7" r:id="rId9" xr:uid="{00000000-0004-0000-0000-000008000000}"/>
    <hyperlink ref="C8" r:id="rId10" xr:uid="{00000000-0004-0000-0000-000009000000}"/>
    <hyperlink ref="C9" r:id="rId11" xr:uid="{00000000-0004-0000-0000-00000A000000}"/>
    <hyperlink ref="C10" r:id="rId12" xr:uid="{00000000-0004-0000-0000-00000B000000}"/>
    <hyperlink ref="J10" r:id="rId13" xr:uid="{00000000-0004-0000-0000-00000C000000}"/>
    <hyperlink ref="C11" r:id="rId14" xr:uid="{00000000-0004-0000-0000-00000D000000}"/>
    <hyperlink ref="F11" r:id="rId15" xr:uid="{00000000-0004-0000-0000-00000E000000}"/>
    <hyperlink ref="C12" r:id="rId16" xr:uid="{00000000-0004-0000-0000-00000F000000}"/>
    <hyperlink ref="C13" r:id="rId17" xr:uid="{00000000-0004-0000-0000-000010000000}"/>
    <hyperlink ref="C14" r:id="rId18" xr:uid="{00000000-0004-0000-0000-000011000000}"/>
    <hyperlink ref="C16" r:id="rId19" xr:uid="{00000000-0004-0000-0000-000012000000}"/>
    <hyperlink ref="F16" r:id="rId20" xr:uid="{00000000-0004-0000-0000-000013000000}"/>
    <hyperlink ref="C17" r:id="rId21" xr:uid="{00000000-0004-0000-0000-000014000000}"/>
    <hyperlink ref="C18" r:id="rId22" xr:uid="{00000000-0004-0000-0000-000015000000}"/>
    <hyperlink ref="F18" r:id="rId23" xr:uid="{00000000-0004-0000-0000-000016000000}"/>
    <hyperlink ref="C19" r:id="rId24" xr:uid="{00000000-0004-0000-0000-000017000000}"/>
    <hyperlink ref="C20" r:id="rId25" xr:uid="{00000000-0004-0000-0000-000018000000}"/>
    <hyperlink ref="F20" r:id="rId26" xr:uid="{00000000-0004-0000-0000-000019000000}"/>
    <hyperlink ref="C21" r:id="rId27" xr:uid="{00000000-0004-0000-0000-00001A000000}"/>
    <hyperlink ref="C22" r:id="rId28" xr:uid="{00000000-0004-0000-0000-00001B000000}"/>
    <hyperlink ref="F22" r:id="rId29" xr:uid="{00000000-0004-0000-0000-00001C000000}"/>
    <hyperlink ref="C23" r:id="rId30" xr:uid="{00000000-0004-0000-0000-00001D000000}"/>
    <hyperlink ref="C24" r:id="rId31" xr:uid="{00000000-0004-0000-0000-00001E000000}"/>
    <hyperlink ref="F24" r:id="rId32" xr:uid="{00000000-0004-0000-0000-00001F000000}"/>
    <hyperlink ref="H24" r:id="rId33" xr:uid="{00000000-0004-0000-0000-000020000000}"/>
    <hyperlink ref="J24" r:id="rId34" xr:uid="{00000000-0004-0000-0000-000021000000}"/>
    <hyperlink ref="C25" r:id="rId35" xr:uid="{00000000-0004-0000-0000-000022000000}"/>
    <hyperlink ref="F25" r:id="rId36" xr:uid="{00000000-0004-0000-0000-000023000000}"/>
    <hyperlink ref="C26" r:id="rId37" xr:uid="{00000000-0004-0000-0000-000024000000}"/>
    <hyperlink ref="C27" r:id="rId38" xr:uid="{00000000-0004-0000-0000-000025000000}"/>
    <hyperlink ref="C28" r:id="rId39" xr:uid="{00000000-0004-0000-0000-000026000000}"/>
    <hyperlink ref="C29" r:id="rId40" xr:uid="{00000000-0004-0000-0000-000027000000}"/>
    <hyperlink ref="C30" r:id="rId41" xr:uid="{00000000-0004-0000-0000-000028000000}"/>
    <hyperlink ref="C31" r:id="rId42" xr:uid="{00000000-0004-0000-0000-000029000000}"/>
    <hyperlink ref="C32" r:id="rId43" xr:uid="{00000000-0004-0000-0000-00002A000000}"/>
    <hyperlink ref="C33" r:id="rId44" xr:uid="{00000000-0004-0000-0000-00002B000000}"/>
    <hyperlink ref="F33" r:id="rId45" xr:uid="{00000000-0004-0000-0000-00002C000000}"/>
    <hyperlink ref="C34" r:id="rId46" xr:uid="{00000000-0004-0000-0000-00002D000000}"/>
    <hyperlink ref="C35" r:id="rId47" xr:uid="{00000000-0004-0000-0000-00002E000000}"/>
    <hyperlink ref="C36" r:id="rId48" xr:uid="{00000000-0004-0000-0000-00002F000000}"/>
    <hyperlink ref="C37" r:id="rId49" xr:uid="{00000000-0004-0000-0000-000030000000}"/>
    <hyperlink ref="E37" r:id="rId50" xr:uid="{00000000-0004-0000-0000-000031000000}"/>
    <hyperlink ref="C38" r:id="rId51" xr:uid="{00000000-0004-0000-0000-000032000000}"/>
    <hyperlink ref="F38" r:id="rId52" xr:uid="{00000000-0004-0000-0000-000033000000}"/>
    <hyperlink ref="J38" r:id="rId53" xr:uid="{00000000-0004-0000-0000-000034000000}"/>
    <hyperlink ref="C39" r:id="rId54" xr:uid="{00000000-0004-0000-0000-000035000000}"/>
    <hyperlink ref="C40" r:id="rId55" xr:uid="{00000000-0004-0000-0000-000036000000}"/>
    <hyperlink ref="F40" r:id="rId56" xr:uid="{00000000-0004-0000-0000-000037000000}"/>
    <hyperlink ref="J40" r:id="rId57" xr:uid="{00000000-0004-0000-0000-000038000000}"/>
    <hyperlink ref="C41" r:id="rId58" xr:uid="{00000000-0004-0000-0000-000039000000}"/>
    <hyperlink ref="C42" r:id="rId59" xr:uid="{00000000-0004-0000-0000-00003A000000}"/>
    <hyperlink ref="F42" r:id="rId60" xr:uid="{00000000-0004-0000-0000-00003B000000}"/>
    <hyperlink ref="C43" r:id="rId61" xr:uid="{00000000-0004-0000-0000-00003C000000}"/>
    <hyperlink ref="C44" r:id="rId62" xr:uid="{00000000-0004-0000-0000-00003D000000}"/>
    <hyperlink ref="C45" r:id="rId63" xr:uid="{00000000-0004-0000-0000-00003E000000}"/>
    <hyperlink ref="C46" r:id="rId64" xr:uid="{00000000-0004-0000-0000-00003F000000}"/>
    <hyperlink ref="F46" r:id="rId65" xr:uid="{00000000-0004-0000-0000-000040000000}"/>
    <hyperlink ref="C47" r:id="rId66" xr:uid="{00000000-0004-0000-0000-000041000000}"/>
    <hyperlink ref="J47" r:id="rId67" xr:uid="{00000000-0004-0000-0000-000042000000}"/>
    <hyperlink ref="C48" r:id="rId68" xr:uid="{00000000-0004-0000-0000-000043000000}"/>
    <hyperlink ref="F48" r:id="rId69" xr:uid="{00000000-0004-0000-0000-000044000000}"/>
    <hyperlink ref="C49" r:id="rId70" xr:uid="{00000000-0004-0000-0000-000045000000}"/>
    <hyperlink ref="F49" r:id="rId71" xr:uid="{00000000-0004-0000-0000-000046000000}"/>
    <hyperlink ref="C50" r:id="rId72" xr:uid="{00000000-0004-0000-0000-000047000000}"/>
    <hyperlink ref="F50" r:id="rId73" xr:uid="{00000000-0004-0000-0000-000048000000}"/>
    <hyperlink ref="C51" r:id="rId74" xr:uid="{00000000-0004-0000-0000-000049000000}"/>
    <hyperlink ref="C52" r:id="rId75" xr:uid="{00000000-0004-0000-0000-00004A000000}"/>
    <hyperlink ref="C53" r:id="rId76" xr:uid="{00000000-0004-0000-0000-00004B000000}"/>
    <hyperlink ref="C54" r:id="rId77" xr:uid="{00000000-0004-0000-0000-00004C000000}"/>
    <hyperlink ref="F54" r:id="rId78" xr:uid="{00000000-0004-0000-0000-00004D000000}"/>
    <hyperlink ref="J54" r:id="rId79" xr:uid="{00000000-0004-0000-0000-00004E000000}"/>
    <hyperlink ref="C55" r:id="rId80" xr:uid="{00000000-0004-0000-0000-00004F000000}"/>
    <hyperlink ref="C56" r:id="rId81" xr:uid="{00000000-0004-0000-0000-000050000000}"/>
    <hyperlink ref="F56" r:id="rId82" xr:uid="{00000000-0004-0000-0000-000051000000}"/>
    <hyperlink ref="H56" r:id="rId83" xr:uid="{00000000-0004-0000-0000-000052000000}"/>
    <hyperlink ref="C57" r:id="rId84" xr:uid="{00000000-0004-0000-0000-000053000000}"/>
    <hyperlink ref="C58" r:id="rId85" xr:uid="{00000000-0004-0000-0000-000054000000}"/>
    <hyperlink ref="F58" r:id="rId86" xr:uid="{00000000-0004-0000-0000-000055000000}"/>
    <hyperlink ref="C59" r:id="rId87" xr:uid="{00000000-0004-0000-0000-000056000000}"/>
    <hyperlink ref="F59" r:id="rId88" xr:uid="{00000000-0004-0000-0000-000057000000}"/>
    <hyperlink ref="C60" r:id="rId89" xr:uid="{00000000-0004-0000-0000-000058000000}"/>
    <hyperlink ref="F60" r:id="rId90" xr:uid="{00000000-0004-0000-0000-000059000000}"/>
    <hyperlink ref="C61" r:id="rId91" xr:uid="{00000000-0004-0000-0000-00005A000000}"/>
    <hyperlink ref="C62" r:id="rId92" xr:uid="{00000000-0004-0000-0000-00005B000000}"/>
    <hyperlink ref="F62" r:id="rId93" xr:uid="{00000000-0004-0000-0000-00005C000000}"/>
    <hyperlink ref="C63" r:id="rId94" xr:uid="{00000000-0004-0000-0000-00005D000000}"/>
    <hyperlink ref="F63" r:id="rId95" xr:uid="{00000000-0004-0000-0000-00005E000000}"/>
    <hyperlink ref="C64" r:id="rId96" xr:uid="{00000000-0004-0000-0000-00005F000000}"/>
    <hyperlink ref="C65" r:id="rId97" xr:uid="{00000000-0004-0000-0000-000060000000}"/>
    <hyperlink ref="C66" r:id="rId98" xr:uid="{00000000-0004-0000-0000-000061000000}"/>
    <hyperlink ref="C67" r:id="rId99" xr:uid="{00000000-0004-0000-0000-000062000000}"/>
    <hyperlink ref="F67" r:id="rId100" xr:uid="{00000000-0004-0000-0000-000063000000}"/>
    <hyperlink ref="C68" r:id="rId101" xr:uid="{00000000-0004-0000-0000-000064000000}"/>
    <hyperlink ref="J68" r:id="rId102" xr:uid="{00000000-0004-0000-0000-000065000000}"/>
    <hyperlink ref="C69" r:id="rId103" xr:uid="{00000000-0004-0000-0000-000066000000}"/>
    <hyperlink ref="C70" r:id="rId104" xr:uid="{00000000-0004-0000-0000-000067000000}"/>
    <hyperlink ref="C71" r:id="rId105" xr:uid="{00000000-0004-0000-0000-000068000000}"/>
    <hyperlink ref="F71" r:id="rId106" xr:uid="{00000000-0004-0000-0000-000069000000}"/>
    <hyperlink ref="C72" r:id="rId107" xr:uid="{00000000-0004-0000-0000-00006A000000}"/>
    <hyperlink ref="F72" r:id="rId108" xr:uid="{00000000-0004-0000-0000-00006B000000}"/>
    <hyperlink ref="C73" r:id="rId109" xr:uid="{00000000-0004-0000-0000-00006C000000}"/>
    <hyperlink ref="C74" r:id="rId110" xr:uid="{00000000-0004-0000-0000-00006D000000}"/>
    <hyperlink ref="C75" r:id="rId111" xr:uid="{00000000-0004-0000-0000-00006E000000}"/>
    <hyperlink ref="C76" r:id="rId112" xr:uid="{00000000-0004-0000-0000-00006F000000}"/>
    <hyperlink ref="F76" r:id="rId113" xr:uid="{00000000-0004-0000-0000-000070000000}"/>
    <hyperlink ref="C77" r:id="rId114" xr:uid="{00000000-0004-0000-0000-000071000000}"/>
    <hyperlink ref="F77" r:id="rId115" xr:uid="{00000000-0004-0000-0000-000072000000}"/>
    <hyperlink ref="C78" r:id="rId116" xr:uid="{00000000-0004-0000-0000-000073000000}"/>
    <hyperlink ref="C79" r:id="rId117" xr:uid="{00000000-0004-0000-0000-000074000000}"/>
    <hyperlink ref="C80" r:id="rId118" xr:uid="{00000000-0004-0000-0000-000075000000}"/>
    <hyperlink ref="F80" r:id="rId119" xr:uid="{00000000-0004-0000-0000-000076000000}"/>
    <hyperlink ref="C81" r:id="rId120" xr:uid="{00000000-0004-0000-0000-000077000000}"/>
    <hyperlink ref="C82" r:id="rId121" xr:uid="{00000000-0004-0000-0000-000078000000}"/>
    <hyperlink ref="J82" r:id="rId122" xr:uid="{00000000-0004-0000-0000-000079000000}"/>
    <hyperlink ref="C83" r:id="rId123" xr:uid="{00000000-0004-0000-0000-00007A000000}"/>
    <hyperlink ref="C84" r:id="rId124" xr:uid="{00000000-0004-0000-0000-00007B000000}"/>
    <hyperlink ref="C85" r:id="rId125" xr:uid="{00000000-0004-0000-0000-00007C000000}"/>
    <hyperlink ref="F85" r:id="rId126" xr:uid="{00000000-0004-0000-0000-00007D000000}"/>
    <hyperlink ref="C86" r:id="rId127" xr:uid="{00000000-0004-0000-0000-00007E000000}"/>
    <hyperlink ref="C87" r:id="rId128" xr:uid="{00000000-0004-0000-0000-00007F000000}"/>
    <hyperlink ref="C88" r:id="rId129" xr:uid="{00000000-0004-0000-0000-000080000000}"/>
    <hyperlink ref="F88" r:id="rId130" xr:uid="{00000000-0004-0000-0000-000081000000}"/>
    <hyperlink ref="C89" r:id="rId131" xr:uid="{00000000-0004-0000-0000-000082000000}"/>
    <hyperlink ref="C90" r:id="rId132" xr:uid="{00000000-0004-0000-0000-000083000000}"/>
    <hyperlink ref="F90" r:id="rId133" xr:uid="{00000000-0004-0000-0000-000084000000}"/>
    <hyperlink ref="J90" r:id="rId134" xr:uid="{00000000-0004-0000-0000-000085000000}"/>
    <hyperlink ref="C91" r:id="rId135" xr:uid="{00000000-0004-0000-0000-000086000000}"/>
    <hyperlink ref="F91" r:id="rId136" xr:uid="{00000000-0004-0000-0000-000087000000}"/>
    <hyperlink ref="C92" r:id="rId137" xr:uid="{00000000-0004-0000-0000-000088000000}"/>
    <hyperlink ref="C93" r:id="rId138" xr:uid="{00000000-0004-0000-0000-000089000000}"/>
    <hyperlink ref="C94" r:id="rId139" xr:uid="{00000000-0004-0000-0000-00008A000000}"/>
    <hyperlink ref="C95" r:id="rId140" xr:uid="{00000000-0004-0000-0000-00008B000000}"/>
    <hyperlink ref="C96" r:id="rId141" xr:uid="{00000000-0004-0000-0000-00008C000000}"/>
    <hyperlink ref="C97" r:id="rId142" xr:uid="{00000000-0004-0000-0000-00008D000000}"/>
    <hyperlink ref="F97" r:id="rId143" xr:uid="{00000000-0004-0000-0000-00008E000000}"/>
    <hyperlink ref="F98" r:id="rId144" xr:uid="{00000000-0004-0000-0000-00008F000000}"/>
    <hyperlink ref="J98" r:id="rId145" xr:uid="{00000000-0004-0000-0000-000090000000}"/>
    <hyperlink ref="C99" r:id="rId146" xr:uid="{00000000-0004-0000-0000-000091000000}"/>
    <hyperlink ref="C100" r:id="rId147" xr:uid="{00000000-0004-0000-0000-000092000000}"/>
    <hyperlink ref="J100" r:id="rId148" xr:uid="{00000000-0004-0000-0000-000093000000}"/>
    <hyperlink ref="C101" r:id="rId149" xr:uid="{00000000-0004-0000-0000-000094000000}"/>
    <hyperlink ref="F101" r:id="rId150" xr:uid="{00000000-0004-0000-0000-000095000000}"/>
    <hyperlink ref="C102" r:id="rId151" xr:uid="{00000000-0004-0000-0000-000096000000}"/>
    <hyperlink ref="C103" r:id="rId152" xr:uid="{00000000-0004-0000-0000-000097000000}"/>
    <hyperlink ref="F103" r:id="rId153" xr:uid="{00000000-0004-0000-0000-000098000000}"/>
    <hyperlink ref="C104" r:id="rId154" xr:uid="{00000000-0004-0000-0000-000099000000}"/>
    <hyperlink ref="C105" r:id="rId155" xr:uid="{00000000-0004-0000-0000-00009A000000}"/>
    <hyperlink ref="F105" r:id="rId156" xr:uid="{00000000-0004-0000-0000-00009B000000}"/>
    <hyperlink ref="C106" r:id="rId157" xr:uid="{00000000-0004-0000-0000-00009C000000}"/>
    <hyperlink ref="F106" r:id="rId158" xr:uid="{00000000-0004-0000-0000-00009D000000}"/>
    <hyperlink ref="J106" r:id="rId159" xr:uid="{00000000-0004-0000-0000-00009E000000}"/>
    <hyperlink ref="C107" r:id="rId160" xr:uid="{00000000-0004-0000-0000-00009F000000}"/>
    <hyperlink ref="F107" r:id="rId161" xr:uid="{00000000-0004-0000-0000-0000A0000000}"/>
    <hyperlink ref="C108" r:id="rId162" xr:uid="{00000000-0004-0000-0000-0000A1000000}"/>
    <hyperlink ref="C109" r:id="rId163" xr:uid="{00000000-0004-0000-0000-0000A2000000}"/>
    <hyperlink ref="F109" r:id="rId164" xr:uid="{00000000-0004-0000-0000-0000A3000000}"/>
    <hyperlink ref="J109" r:id="rId165" xr:uid="{00000000-0004-0000-0000-0000A4000000}"/>
    <hyperlink ref="C110" r:id="rId166" xr:uid="{00000000-0004-0000-0000-0000A5000000}"/>
    <hyperlink ref="J110" r:id="rId167" xr:uid="{00000000-0004-0000-0000-0000A6000000}"/>
    <hyperlink ref="C111" r:id="rId168" xr:uid="{00000000-0004-0000-0000-0000A7000000}"/>
    <hyperlink ref="C112" r:id="rId169" xr:uid="{00000000-0004-0000-0000-0000A8000000}"/>
    <hyperlink ref="F112" r:id="rId170" xr:uid="{00000000-0004-0000-0000-0000A9000000}"/>
    <hyperlink ref="C113" r:id="rId171" xr:uid="{00000000-0004-0000-0000-0000AA000000}"/>
    <hyperlink ref="F113" r:id="rId172" xr:uid="{00000000-0004-0000-0000-0000AB000000}"/>
    <hyperlink ref="J113" r:id="rId173" xr:uid="{00000000-0004-0000-0000-0000AC000000}"/>
    <hyperlink ref="C114" r:id="rId174" xr:uid="{00000000-0004-0000-0000-0000AD000000}"/>
    <hyperlink ref="C115" r:id="rId175" xr:uid="{00000000-0004-0000-0000-0000AE000000}"/>
    <hyperlink ref="F115" r:id="rId176" xr:uid="{00000000-0004-0000-0000-0000AF000000}"/>
    <hyperlink ref="C116" r:id="rId177" xr:uid="{00000000-0004-0000-0000-0000B0000000}"/>
    <hyperlink ref="F116" r:id="rId178" xr:uid="{00000000-0004-0000-0000-0000B1000000}"/>
    <hyperlink ref="C117" r:id="rId179" xr:uid="{00000000-0004-0000-0000-0000B2000000}"/>
    <hyperlink ref="C118" r:id="rId180" xr:uid="{00000000-0004-0000-0000-0000B3000000}"/>
    <hyperlink ref="F118" r:id="rId181" xr:uid="{00000000-0004-0000-0000-0000B4000000}"/>
    <hyperlink ref="C119" r:id="rId182" xr:uid="{00000000-0004-0000-0000-0000B5000000}"/>
    <hyperlink ref="F119" r:id="rId183" xr:uid="{00000000-0004-0000-0000-0000B6000000}"/>
    <hyperlink ref="J119" r:id="rId184" xr:uid="{00000000-0004-0000-0000-0000B7000000}"/>
    <hyperlink ref="C120" r:id="rId185" xr:uid="{00000000-0004-0000-0000-0000B8000000}"/>
    <hyperlink ref="F120" r:id="rId186" xr:uid="{00000000-0004-0000-0000-0000B9000000}"/>
    <hyperlink ref="C121" r:id="rId187" xr:uid="{00000000-0004-0000-0000-0000BA000000}"/>
    <hyperlink ref="F121" r:id="rId188" xr:uid="{00000000-0004-0000-0000-0000BB000000}"/>
    <hyperlink ref="J121" r:id="rId189" xr:uid="{00000000-0004-0000-0000-0000BC000000}"/>
    <hyperlink ref="C122" r:id="rId190" xr:uid="{00000000-0004-0000-0000-0000BD000000}"/>
    <hyperlink ref="F122" r:id="rId191" xr:uid="{00000000-0004-0000-0000-0000BE000000}"/>
    <hyperlink ref="C123" r:id="rId192" xr:uid="{00000000-0004-0000-0000-0000BF000000}"/>
    <hyperlink ref="C124" r:id="rId193" xr:uid="{00000000-0004-0000-0000-0000C0000000}"/>
    <hyperlink ref="F124" r:id="rId194" xr:uid="{00000000-0004-0000-0000-0000C1000000}"/>
    <hyperlink ref="C125" r:id="rId195" xr:uid="{00000000-0004-0000-0000-0000C2000000}"/>
    <hyperlink ref="C126" r:id="rId196" xr:uid="{00000000-0004-0000-0000-0000C3000000}"/>
    <hyperlink ref="F126" r:id="rId197" xr:uid="{00000000-0004-0000-0000-0000C4000000}"/>
    <hyperlink ref="C127" r:id="rId198" xr:uid="{00000000-0004-0000-0000-0000C5000000}"/>
    <hyperlink ref="F127" r:id="rId199" xr:uid="{00000000-0004-0000-0000-0000C6000000}"/>
    <hyperlink ref="C128" r:id="rId200" xr:uid="{00000000-0004-0000-0000-0000C7000000}"/>
    <hyperlink ref="C129" r:id="rId201" xr:uid="{00000000-0004-0000-0000-0000C8000000}"/>
    <hyperlink ref="C130" r:id="rId202" xr:uid="{00000000-0004-0000-0000-0000C9000000}"/>
    <hyperlink ref="C131" r:id="rId203" xr:uid="{00000000-0004-0000-0000-0000CA000000}"/>
    <hyperlink ref="C132" r:id="rId204" xr:uid="{00000000-0004-0000-0000-0000CB000000}"/>
    <hyperlink ref="C133" r:id="rId205" xr:uid="{00000000-0004-0000-0000-0000CC000000}"/>
    <hyperlink ref="C134" r:id="rId206" xr:uid="{00000000-0004-0000-0000-0000CD000000}"/>
    <hyperlink ref="F134" r:id="rId207" xr:uid="{00000000-0004-0000-0000-0000CE000000}"/>
    <hyperlink ref="J134" r:id="rId208" xr:uid="{00000000-0004-0000-0000-0000CF000000}"/>
    <hyperlink ref="C135" r:id="rId209" xr:uid="{00000000-0004-0000-0000-0000D0000000}"/>
  </hyperlinks>
  <printOptions horizontalCentered="1" gridLines="1"/>
  <pageMargins left="0.25" right="0.25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06BB3-EA26-40FE-A3D9-D81336EBB336}">
  <dimension ref="A1:R133"/>
  <sheetViews>
    <sheetView workbookViewId="0">
      <selection sqref="A1:R1"/>
    </sheetView>
  </sheetViews>
  <sheetFormatPr defaultColWidth="10.7109375" defaultRowHeight="15.75"/>
  <cols>
    <col min="1" max="4" width="15.7109375" style="50" customWidth="1"/>
    <col min="5" max="5" width="15.7109375" style="67" customWidth="1"/>
    <col min="6" max="7" width="15.7109375" style="50" customWidth="1"/>
    <col min="8" max="8" width="15.7109375" style="67" customWidth="1"/>
    <col min="9" max="12" width="15.7109375" style="50" customWidth="1"/>
    <col min="13" max="13" width="15.7109375" style="51" customWidth="1"/>
    <col min="14" max="18" width="15.7109375" style="50" customWidth="1"/>
    <col min="19" max="16384" width="10.7109375" style="50"/>
  </cols>
  <sheetData>
    <row r="1" spans="1:18">
      <c r="A1" s="50" t="s">
        <v>451</v>
      </c>
      <c r="B1" s="50" t="s">
        <v>452</v>
      </c>
      <c r="C1" s="50" t="s">
        <v>453</v>
      </c>
      <c r="D1" s="50" t="s">
        <v>454</v>
      </c>
      <c r="E1" s="69" t="s">
        <v>455</v>
      </c>
      <c r="F1" s="50" t="s">
        <v>456</v>
      </c>
      <c r="G1" s="50" t="s">
        <v>618</v>
      </c>
      <c r="H1" s="69" t="s">
        <v>458</v>
      </c>
      <c r="I1" s="69" t="s">
        <v>459</v>
      </c>
      <c r="J1" s="50" t="s">
        <v>460</v>
      </c>
      <c r="K1" s="50" t="s">
        <v>461</v>
      </c>
      <c r="L1" s="50" t="s">
        <v>462</v>
      </c>
      <c r="M1" s="50" t="s">
        <v>463</v>
      </c>
      <c r="N1" s="50" t="s">
        <v>464</v>
      </c>
      <c r="O1" s="50" t="s">
        <v>465</v>
      </c>
      <c r="P1" s="50" t="s">
        <v>466</v>
      </c>
      <c r="Q1" s="50" t="s">
        <v>467</v>
      </c>
      <c r="R1" s="51" t="s">
        <v>468</v>
      </c>
    </row>
    <row r="2" spans="1:18">
      <c r="A2" s="50" t="s">
        <v>9</v>
      </c>
      <c r="B2" s="50" t="s">
        <v>469</v>
      </c>
      <c r="C2" s="50">
        <v>4055</v>
      </c>
      <c r="D2" s="50" t="s">
        <v>470</v>
      </c>
      <c r="E2" s="67">
        <v>0.64</v>
      </c>
      <c r="F2" s="50" t="s">
        <v>475</v>
      </c>
      <c r="G2" s="50" t="s">
        <v>476</v>
      </c>
      <c r="H2" s="67">
        <v>1994</v>
      </c>
      <c r="I2" s="67"/>
      <c r="J2" s="50" t="s">
        <v>484</v>
      </c>
      <c r="K2" s="50" t="s">
        <v>478</v>
      </c>
      <c r="L2" s="50" t="s">
        <v>10</v>
      </c>
      <c r="M2" s="50" t="s">
        <v>10</v>
      </c>
      <c r="N2" s="50" t="s">
        <v>11</v>
      </c>
      <c r="O2" s="50" t="s">
        <v>474</v>
      </c>
      <c r="P2" s="50" t="s">
        <v>10</v>
      </c>
      <c r="Q2" s="50" t="s">
        <v>11</v>
      </c>
      <c r="R2" s="51">
        <v>43587</v>
      </c>
    </row>
    <row r="3" spans="1:18">
      <c r="A3" s="50" t="s">
        <v>12</v>
      </c>
      <c r="B3" s="50" t="s">
        <v>469</v>
      </c>
      <c r="C3" s="50">
        <v>6010</v>
      </c>
      <c r="D3" s="50" t="s">
        <v>501</v>
      </c>
      <c r="E3" s="67">
        <v>0.69</v>
      </c>
      <c r="F3" s="50" t="s">
        <v>480</v>
      </c>
      <c r="G3" s="50" t="s">
        <v>494</v>
      </c>
      <c r="H3" s="67">
        <v>2007</v>
      </c>
      <c r="I3" s="67"/>
      <c r="J3" s="50" t="s">
        <v>477</v>
      </c>
      <c r="L3" s="50" t="s">
        <v>10</v>
      </c>
      <c r="M3" s="50" t="s">
        <v>10</v>
      </c>
      <c r="N3" s="50" t="s">
        <v>13</v>
      </c>
      <c r="O3" s="50" t="s">
        <v>474</v>
      </c>
      <c r="P3" s="50" t="s">
        <v>10</v>
      </c>
      <c r="Q3" s="50" t="s">
        <v>14</v>
      </c>
      <c r="R3" s="51">
        <v>44775</v>
      </c>
    </row>
    <row r="4" spans="1:18">
      <c r="A4" s="50" t="s">
        <v>18</v>
      </c>
      <c r="B4" s="50" t="s">
        <v>469</v>
      </c>
      <c r="C4" s="50">
        <v>18490</v>
      </c>
      <c r="D4" s="50" t="s">
        <v>491</v>
      </c>
      <c r="E4" s="67">
        <v>0.25</v>
      </c>
      <c r="F4" s="50" t="s">
        <v>483</v>
      </c>
      <c r="G4" s="50" t="s">
        <v>472</v>
      </c>
      <c r="H4" s="67">
        <v>1992</v>
      </c>
      <c r="I4" s="67"/>
      <c r="J4" s="50" t="s">
        <v>484</v>
      </c>
      <c r="L4" s="50" t="s">
        <v>20</v>
      </c>
      <c r="M4" s="50" t="s">
        <v>21</v>
      </c>
      <c r="N4" s="50" t="s">
        <v>492</v>
      </c>
      <c r="O4" s="50" t="s">
        <v>474</v>
      </c>
      <c r="P4" s="50" t="s">
        <v>21</v>
      </c>
      <c r="Q4" s="50" t="s">
        <v>22</v>
      </c>
      <c r="R4" s="51">
        <v>44768</v>
      </c>
    </row>
    <row r="5" spans="1:18">
      <c r="A5" s="50" t="s">
        <v>25</v>
      </c>
      <c r="B5" s="50" t="s">
        <v>506</v>
      </c>
      <c r="C5" s="50" t="s">
        <v>304</v>
      </c>
      <c r="D5" s="50" t="s">
        <v>304</v>
      </c>
      <c r="E5" s="67" t="s">
        <v>471</v>
      </c>
      <c r="F5" s="50" t="s">
        <v>304</v>
      </c>
      <c r="G5" s="50" t="s">
        <v>488</v>
      </c>
      <c r="H5" s="67" t="s">
        <v>304</v>
      </c>
      <c r="I5" s="67"/>
      <c r="J5" s="50" t="s">
        <v>304</v>
      </c>
      <c r="M5" s="50" t="s">
        <v>16</v>
      </c>
      <c r="N5" s="50" t="s">
        <v>26</v>
      </c>
      <c r="O5" s="50" t="s">
        <v>505</v>
      </c>
      <c r="R5" s="51"/>
    </row>
    <row r="6" spans="1:18">
      <c r="A6" s="50" t="s">
        <v>541</v>
      </c>
      <c r="B6" s="50" t="s">
        <v>469</v>
      </c>
      <c r="C6" s="50">
        <v>13850</v>
      </c>
      <c r="D6" s="50" t="s">
        <v>493</v>
      </c>
      <c r="E6" s="67">
        <v>0.52</v>
      </c>
      <c r="F6" s="50" t="s">
        <v>475</v>
      </c>
      <c r="G6" s="50" t="s">
        <v>490</v>
      </c>
      <c r="H6" s="67">
        <v>1966</v>
      </c>
      <c r="I6" s="67"/>
      <c r="J6" s="50" t="s">
        <v>473</v>
      </c>
      <c r="L6" s="50" t="s">
        <v>29</v>
      </c>
      <c r="M6" s="50" t="s">
        <v>16</v>
      </c>
      <c r="N6" s="50" t="s">
        <v>28</v>
      </c>
      <c r="O6" s="50" t="s">
        <v>540</v>
      </c>
      <c r="P6" s="50" t="s">
        <v>16</v>
      </c>
      <c r="Q6" s="50" t="s">
        <v>30</v>
      </c>
      <c r="R6" s="51"/>
    </row>
    <row r="7" spans="1:18">
      <c r="A7" s="50" t="s">
        <v>31</v>
      </c>
      <c r="B7" s="50" t="s">
        <v>469</v>
      </c>
      <c r="C7" s="50">
        <v>8545</v>
      </c>
      <c r="D7" s="50" t="s">
        <v>501</v>
      </c>
      <c r="E7" s="67">
        <v>0.46</v>
      </c>
      <c r="F7" s="50" t="s">
        <v>475</v>
      </c>
      <c r="G7" s="50" t="s">
        <v>494</v>
      </c>
      <c r="H7" s="67">
        <v>2007</v>
      </c>
      <c r="I7" s="67"/>
      <c r="J7" s="50" t="s">
        <v>477</v>
      </c>
      <c r="L7" s="50" t="s">
        <v>29</v>
      </c>
      <c r="M7" s="50" t="s">
        <v>32</v>
      </c>
      <c r="N7" s="50" t="s">
        <v>33</v>
      </c>
      <c r="O7" s="50" t="s">
        <v>505</v>
      </c>
      <c r="R7" s="51">
        <v>43587</v>
      </c>
    </row>
    <row r="8" spans="1:18">
      <c r="A8" s="50" t="s">
        <v>34</v>
      </c>
      <c r="B8" s="50" t="s">
        <v>469</v>
      </c>
      <c r="C8" s="50">
        <v>7795</v>
      </c>
      <c r="D8" s="50" t="s">
        <v>501</v>
      </c>
      <c r="E8" s="67">
        <v>0.46</v>
      </c>
      <c r="F8" s="50" t="s">
        <v>475</v>
      </c>
      <c r="G8" s="50" t="s">
        <v>503</v>
      </c>
      <c r="H8" s="67">
        <v>2005</v>
      </c>
      <c r="I8" s="67"/>
      <c r="J8" s="50" t="s">
        <v>477</v>
      </c>
      <c r="K8" s="50" t="s">
        <v>522</v>
      </c>
      <c r="M8" s="50" t="s">
        <v>16</v>
      </c>
      <c r="N8" s="50" t="s">
        <v>35</v>
      </c>
      <c r="O8" s="50" t="s">
        <v>529</v>
      </c>
      <c r="P8" s="50" t="s">
        <v>21</v>
      </c>
      <c r="Q8" s="50" t="s">
        <v>530</v>
      </c>
      <c r="R8" s="51">
        <v>43648</v>
      </c>
    </row>
    <row r="9" spans="1:18">
      <c r="A9" s="50" t="s">
        <v>511</v>
      </c>
      <c r="B9" s="50" t="s">
        <v>469</v>
      </c>
      <c r="C9" s="50">
        <v>7625</v>
      </c>
      <c r="D9" s="50" t="s">
        <v>501</v>
      </c>
      <c r="E9" s="67" t="s">
        <v>471</v>
      </c>
      <c r="F9" s="50" t="s">
        <v>304</v>
      </c>
      <c r="G9" s="50" t="s">
        <v>498</v>
      </c>
      <c r="H9" s="67" t="s">
        <v>507</v>
      </c>
      <c r="I9" s="67">
        <v>2012</v>
      </c>
      <c r="J9" s="50" t="s">
        <v>477</v>
      </c>
      <c r="M9" s="50" t="s">
        <v>16</v>
      </c>
      <c r="N9" s="50" t="s">
        <v>38</v>
      </c>
      <c r="O9" s="50" t="s">
        <v>505</v>
      </c>
      <c r="R9" s="51"/>
    </row>
    <row r="10" spans="1:18">
      <c r="A10" s="50" t="s">
        <v>512</v>
      </c>
      <c r="B10" s="50" t="s">
        <v>469</v>
      </c>
      <c r="C10" s="50">
        <v>2285</v>
      </c>
      <c r="D10" s="50" t="s">
        <v>470</v>
      </c>
      <c r="E10" s="67">
        <v>0.43</v>
      </c>
      <c r="F10" s="50" t="s">
        <v>475</v>
      </c>
      <c r="G10" s="50" t="s">
        <v>490</v>
      </c>
      <c r="H10" s="67">
        <v>2013</v>
      </c>
      <c r="I10" s="67"/>
      <c r="J10" s="50" t="s">
        <v>477</v>
      </c>
      <c r="K10" s="50" t="s">
        <v>513</v>
      </c>
      <c r="M10" s="50" t="s">
        <v>16</v>
      </c>
      <c r="N10" s="50" t="s">
        <v>188</v>
      </c>
      <c r="O10" s="50" t="s">
        <v>505</v>
      </c>
      <c r="R10" s="51">
        <v>43587</v>
      </c>
    </row>
    <row r="11" spans="1:18">
      <c r="A11" s="50" t="s">
        <v>41</v>
      </c>
      <c r="B11" s="50" t="s">
        <v>469</v>
      </c>
      <c r="C11" s="50">
        <v>14375</v>
      </c>
      <c r="D11" s="50" t="s">
        <v>493</v>
      </c>
      <c r="E11" s="67">
        <v>0.66</v>
      </c>
      <c r="F11" s="50" t="s">
        <v>475</v>
      </c>
      <c r="G11" s="50" t="s">
        <v>503</v>
      </c>
      <c r="H11" s="67">
        <v>1992</v>
      </c>
      <c r="I11" s="67"/>
      <c r="J11" s="50" t="s">
        <v>484</v>
      </c>
      <c r="L11" s="50" t="s">
        <v>20</v>
      </c>
      <c r="M11" s="50" t="s">
        <v>16</v>
      </c>
      <c r="N11" s="50" t="s">
        <v>42</v>
      </c>
      <c r="O11" s="50" t="s">
        <v>540</v>
      </c>
      <c r="P11" s="50" t="s">
        <v>16</v>
      </c>
      <c r="Q11" s="50" t="s">
        <v>43</v>
      </c>
      <c r="R11" s="51">
        <v>43615</v>
      </c>
    </row>
    <row r="12" spans="1:18">
      <c r="A12" s="50" t="s">
        <v>46</v>
      </c>
      <c r="B12" s="50" t="s">
        <v>506</v>
      </c>
      <c r="C12" s="50" t="s">
        <v>304</v>
      </c>
      <c r="D12" s="50" t="s">
        <v>304</v>
      </c>
      <c r="E12" s="67" t="s">
        <v>471</v>
      </c>
      <c r="F12" s="50" t="s">
        <v>304</v>
      </c>
      <c r="G12" s="50" t="s">
        <v>472</v>
      </c>
      <c r="H12" s="67" t="s">
        <v>304</v>
      </c>
      <c r="I12" s="67"/>
      <c r="J12" s="50" t="s">
        <v>304</v>
      </c>
      <c r="M12" s="50" t="s">
        <v>16</v>
      </c>
      <c r="N12" s="50" t="s">
        <v>47</v>
      </c>
      <c r="O12" s="50" t="s">
        <v>505</v>
      </c>
      <c r="R12" s="51"/>
    </row>
    <row r="13" spans="1:18">
      <c r="A13" s="50" t="s">
        <v>49</v>
      </c>
      <c r="B13" s="50" t="s">
        <v>506</v>
      </c>
      <c r="C13" s="50" t="s">
        <v>304</v>
      </c>
      <c r="D13" s="50" t="s">
        <v>304</v>
      </c>
      <c r="E13" s="67" t="s">
        <v>471</v>
      </c>
      <c r="F13" s="50" t="s">
        <v>304</v>
      </c>
      <c r="G13" s="50" t="s">
        <v>496</v>
      </c>
      <c r="H13" s="67" t="s">
        <v>304</v>
      </c>
      <c r="I13" s="67"/>
      <c r="J13" s="50" t="s">
        <v>304</v>
      </c>
      <c r="M13" s="50" t="s">
        <v>16</v>
      </c>
      <c r="N13" s="50" t="s">
        <v>47</v>
      </c>
      <c r="O13" s="50" t="s">
        <v>505</v>
      </c>
      <c r="R13" s="51"/>
    </row>
    <row r="14" spans="1:18">
      <c r="A14" s="50" t="s">
        <v>50</v>
      </c>
      <c r="B14" s="50" t="s">
        <v>506</v>
      </c>
      <c r="C14" s="50" t="s">
        <v>304</v>
      </c>
      <c r="D14" s="50" t="s">
        <v>304</v>
      </c>
      <c r="E14" s="67" t="s">
        <v>471</v>
      </c>
      <c r="F14" s="50" t="s">
        <v>304</v>
      </c>
      <c r="G14" s="50" t="s">
        <v>498</v>
      </c>
      <c r="H14" s="67" t="s">
        <v>304</v>
      </c>
      <c r="I14" s="67"/>
      <c r="J14" s="50" t="s">
        <v>304</v>
      </c>
      <c r="M14" s="50" t="s">
        <v>137</v>
      </c>
      <c r="O14" s="50" t="s">
        <v>505</v>
      </c>
      <c r="R14" s="51">
        <v>43587</v>
      </c>
    </row>
    <row r="15" spans="1:18">
      <c r="A15" s="50" t="s">
        <v>52</v>
      </c>
      <c r="B15" s="50" t="s">
        <v>469</v>
      </c>
      <c r="C15" s="50">
        <v>14630</v>
      </c>
      <c r="D15" s="50" t="s">
        <v>493</v>
      </c>
      <c r="E15" s="67">
        <v>0.75</v>
      </c>
      <c r="F15" s="50" t="s">
        <v>480</v>
      </c>
      <c r="G15" s="50" t="s">
        <v>498</v>
      </c>
      <c r="H15" s="67">
        <v>1966</v>
      </c>
      <c r="I15" s="67"/>
      <c r="J15" s="50" t="s">
        <v>473</v>
      </c>
      <c r="L15" s="50" t="s">
        <v>20</v>
      </c>
      <c r="M15" s="50" t="s">
        <v>32</v>
      </c>
      <c r="N15" s="50" t="s">
        <v>53</v>
      </c>
      <c r="O15" s="50" t="s">
        <v>529</v>
      </c>
      <c r="P15" s="50" t="s">
        <v>21</v>
      </c>
      <c r="Q15" s="50" t="s">
        <v>54</v>
      </c>
      <c r="R15" s="51">
        <v>44768</v>
      </c>
    </row>
    <row r="16" spans="1:18">
      <c r="A16" s="50" t="s">
        <v>523</v>
      </c>
      <c r="B16" s="50" t="s">
        <v>469</v>
      </c>
      <c r="C16" s="50">
        <v>10450</v>
      </c>
      <c r="D16" s="50" t="s">
        <v>493</v>
      </c>
      <c r="E16" s="67">
        <v>0.32</v>
      </c>
      <c r="F16" s="50" t="s">
        <v>483</v>
      </c>
      <c r="G16" s="50" t="s">
        <v>488</v>
      </c>
      <c r="H16" s="67">
        <v>1995</v>
      </c>
      <c r="I16" s="67"/>
      <c r="J16" s="50" t="s">
        <v>484</v>
      </c>
      <c r="K16" s="50" t="s">
        <v>478</v>
      </c>
      <c r="M16" s="50" t="s">
        <v>499</v>
      </c>
      <c r="N16" s="50" t="s">
        <v>58</v>
      </c>
      <c r="O16" s="50" t="s">
        <v>505</v>
      </c>
      <c r="R16" s="51">
        <v>45383</v>
      </c>
    </row>
    <row r="17" spans="1:18">
      <c r="A17" s="50" t="s">
        <v>59</v>
      </c>
      <c r="B17" s="50" t="s">
        <v>469</v>
      </c>
      <c r="C17" s="50">
        <v>10500</v>
      </c>
      <c r="D17" s="50" t="s">
        <v>493</v>
      </c>
      <c r="E17" s="67">
        <v>0.28000000000000003</v>
      </c>
      <c r="F17" s="50" t="s">
        <v>483</v>
      </c>
      <c r="G17" s="50" t="s">
        <v>494</v>
      </c>
      <c r="H17" s="67">
        <v>2011</v>
      </c>
      <c r="I17" s="67"/>
      <c r="J17" s="50" t="s">
        <v>477</v>
      </c>
      <c r="L17" s="50" t="s">
        <v>61</v>
      </c>
      <c r="M17" s="50" t="s">
        <v>21</v>
      </c>
      <c r="N17" s="50" t="s">
        <v>60</v>
      </c>
      <c r="O17" s="50" t="s">
        <v>474</v>
      </c>
      <c r="P17" s="50" t="s">
        <v>21</v>
      </c>
      <c r="Q17" s="50" t="s">
        <v>60</v>
      </c>
      <c r="R17" s="51">
        <v>45093</v>
      </c>
    </row>
    <row r="18" spans="1:18">
      <c r="A18" s="50" t="s">
        <v>63</v>
      </c>
      <c r="B18" s="50" t="s">
        <v>469</v>
      </c>
      <c r="C18" s="50">
        <v>28930</v>
      </c>
      <c r="D18" s="50" t="s">
        <v>486</v>
      </c>
      <c r="E18" s="67">
        <v>0.59</v>
      </c>
      <c r="F18" s="50" t="s">
        <v>475</v>
      </c>
      <c r="G18" s="50" t="s">
        <v>494</v>
      </c>
      <c r="H18" s="67">
        <v>2005</v>
      </c>
      <c r="I18" s="67"/>
      <c r="J18" s="50" t="s">
        <v>477</v>
      </c>
      <c r="K18" s="50" t="s">
        <v>482</v>
      </c>
      <c r="L18" s="50" t="s">
        <v>65</v>
      </c>
      <c r="M18" s="50" t="s">
        <v>16</v>
      </c>
      <c r="N18" s="50" t="s">
        <v>64</v>
      </c>
      <c r="O18" s="50" t="s">
        <v>505</v>
      </c>
      <c r="R18" s="51"/>
    </row>
    <row r="19" spans="1:18">
      <c r="A19" s="50" t="s">
        <v>66</v>
      </c>
      <c r="B19" s="50" t="s">
        <v>469</v>
      </c>
      <c r="C19" s="50">
        <v>16415</v>
      </c>
      <c r="D19" s="50" t="s">
        <v>491</v>
      </c>
      <c r="E19" s="67">
        <v>0.56000000000000005</v>
      </c>
      <c r="F19" s="50" t="s">
        <v>475</v>
      </c>
      <c r="G19" s="50" t="s">
        <v>498</v>
      </c>
      <c r="H19" s="67" t="s">
        <v>507</v>
      </c>
      <c r="I19" s="67">
        <v>1966</v>
      </c>
      <c r="J19" s="50" t="s">
        <v>473</v>
      </c>
      <c r="L19" s="50" t="s">
        <v>20</v>
      </c>
      <c r="M19" s="50" t="s">
        <v>16</v>
      </c>
      <c r="N19" s="50" t="s">
        <v>67</v>
      </c>
      <c r="O19" s="50" t="s">
        <v>529</v>
      </c>
      <c r="P19" s="50" t="s">
        <v>21</v>
      </c>
      <c r="Q19" s="50" t="s">
        <v>68</v>
      </c>
      <c r="R19" s="51">
        <v>43587</v>
      </c>
    </row>
    <row r="20" spans="1:18">
      <c r="A20" s="50" t="s">
        <v>70</v>
      </c>
      <c r="B20" s="50" t="s">
        <v>469</v>
      </c>
      <c r="C20" s="50">
        <v>31065</v>
      </c>
      <c r="D20" s="50" t="s">
        <v>486</v>
      </c>
      <c r="E20" s="67">
        <v>0.23</v>
      </c>
      <c r="F20" s="50" t="s">
        <v>483</v>
      </c>
      <c r="G20" s="50" t="s">
        <v>490</v>
      </c>
      <c r="H20" s="67">
        <v>1992</v>
      </c>
      <c r="I20" s="67"/>
      <c r="J20" s="50" t="s">
        <v>484</v>
      </c>
      <c r="L20" s="50" t="s">
        <v>29</v>
      </c>
      <c r="M20" s="50" t="s">
        <v>10</v>
      </c>
      <c r="N20" s="50" t="s">
        <v>71</v>
      </c>
      <c r="O20" s="50" t="s">
        <v>505</v>
      </c>
      <c r="R20" s="51">
        <v>45609</v>
      </c>
    </row>
    <row r="21" spans="1:18">
      <c r="A21" s="50" t="s">
        <v>74</v>
      </c>
      <c r="B21" s="50" t="s">
        <v>469</v>
      </c>
      <c r="C21" s="50">
        <v>3360</v>
      </c>
      <c r="D21" s="50" t="s">
        <v>470</v>
      </c>
      <c r="E21" s="67" t="s">
        <v>471</v>
      </c>
      <c r="F21" s="50" t="s">
        <v>304</v>
      </c>
      <c r="G21" s="50" t="s">
        <v>472</v>
      </c>
      <c r="H21" s="67">
        <v>1967</v>
      </c>
      <c r="I21" s="67"/>
      <c r="J21" s="50" t="s">
        <v>473</v>
      </c>
      <c r="L21" s="50" t="s">
        <v>20</v>
      </c>
      <c r="M21" s="50" t="s">
        <v>32</v>
      </c>
      <c r="N21" s="50" t="s">
        <v>75</v>
      </c>
      <c r="O21" s="50" t="s">
        <v>474</v>
      </c>
      <c r="P21" s="50" t="s">
        <v>32</v>
      </c>
      <c r="Q21" s="50" t="s">
        <v>76</v>
      </c>
      <c r="R21" s="51">
        <v>45469</v>
      </c>
    </row>
    <row r="22" spans="1:18">
      <c r="A22" s="50" t="s">
        <v>78</v>
      </c>
      <c r="B22" s="50" t="s">
        <v>469</v>
      </c>
      <c r="C22" s="50">
        <v>22275</v>
      </c>
      <c r="D22" s="50" t="s">
        <v>479</v>
      </c>
      <c r="E22" s="67">
        <v>0.39</v>
      </c>
      <c r="F22" s="50" t="s">
        <v>475</v>
      </c>
      <c r="G22" s="50" t="s">
        <v>496</v>
      </c>
      <c r="H22" s="67">
        <v>1992</v>
      </c>
      <c r="I22" s="67"/>
      <c r="J22" s="50" t="s">
        <v>484</v>
      </c>
      <c r="M22" s="50" t="s">
        <v>32</v>
      </c>
      <c r="N22" s="50" t="s">
        <v>79</v>
      </c>
      <c r="O22" s="50" t="s">
        <v>529</v>
      </c>
      <c r="P22" s="50" t="s">
        <v>21</v>
      </c>
      <c r="R22" s="51">
        <v>43618</v>
      </c>
    </row>
    <row r="23" spans="1:18">
      <c r="A23" s="50" t="s">
        <v>80</v>
      </c>
      <c r="B23" s="50" t="s">
        <v>469</v>
      </c>
      <c r="C23" s="50">
        <v>21065</v>
      </c>
      <c r="D23" s="50" t="s">
        <v>479</v>
      </c>
      <c r="E23" s="68">
        <v>0.7</v>
      </c>
      <c r="F23" s="50" t="s">
        <v>480</v>
      </c>
      <c r="G23" s="50" t="s">
        <v>527</v>
      </c>
      <c r="H23" s="67">
        <v>1832</v>
      </c>
      <c r="I23" s="67"/>
      <c r="J23" s="50" t="s">
        <v>515</v>
      </c>
      <c r="K23" s="50" t="s">
        <v>482</v>
      </c>
      <c r="L23" s="50" t="s">
        <v>81</v>
      </c>
      <c r="M23" s="50" t="s">
        <v>81</v>
      </c>
      <c r="N23" s="50" t="s">
        <v>82</v>
      </c>
      <c r="O23" s="50" t="s">
        <v>529</v>
      </c>
      <c r="P23" s="50" t="s">
        <v>537</v>
      </c>
      <c r="Q23" s="50" t="s">
        <v>84</v>
      </c>
      <c r="R23" s="51">
        <v>45177</v>
      </c>
    </row>
    <row r="24" spans="1:18">
      <c r="A24" s="50" t="s">
        <v>87</v>
      </c>
      <c r="B24" s="50" t="s">
        <v>469</v>
      </c>
      <c r="C24" s="50">
        <v>11910</v>
      </c>
      <c r="D24" s="50" t="s">
        <v>493</v>
      </c>
      <c r="E24" s="67">
        <v>0.32</v>
      </c>
      <c r="F24" s="50" t="s">
        <v>483</v>
      </c>
      <c r="G24" s="50" t="s">
        <v>487</v>
      </c>
      <c r="H24" s="67">
        <v>2006</v>
      </c>
      <c r="I24" s="67"/>
      <c r="J24" s="50" t="s">
        <v>477</v>
      </c>
      <c r="L24" s="50" t="s">
        <v>10</v>
      </c>
      <c r="M24" s="50" t="s">
        <v>10</v>
      </c>
      <c r="N24" s="50" t="s">
        <v>88</v>
      </c>
      <c r="O24" s="50" t="s">
        <v>529</v>
      </c>
      <c r="P24" s="50" t="s">
        <v>21</v>
      </c>
      <c r="Q24" s="50" t="s">
        <v>89</v>
      </c>
      <c r="R24" s="51">
        <v>43878</v>
      </c>
    </row>
    <row r="25" spans="1:18">
      <c r="A25" s="50" t="s">
        <v>91</v>
      </c>
      <c r="B25" s="50" t="s">
        <v>469</v>
      </c>
      <c r="C25" s="50">
        <v>4800</v>
      </c>
      <c r="D25" s="50" t="s">
        <v>470</v>
      </c>
      <c r="E25" s="68">
        <v>0.2</v>
      </c>
      <c r="F25" s="50" t="s">
        <v>483</v>
      </c>
      <c r="G25" s="50" t="s">
        <v>503</v>
      </c>
      <c r="H25" s="67">
        <v>2012</v>
      </c>
      <c r="I25" s="67"/>
      <c r="J25" s="50" t="s">
        <v>477</v>
      </c>
      <c r="K25" s="50" t="s">
        <v>513</v>
      </c>
      <c r="M25" s="50" t="s">
        <v>16</v>
      </c>
      <c r="N25" s="50" t="s">
        <v>92</v>
      </c>
      <c r="O25" s="50" t="s">
        <v>505</v>
      </c>
      <c r="R25" s="51">
        <v>43587</v>
      </c>
    </row>
    <row r="26" spans="1:18">
      <c r="A26" s="50" t="s">
        <v>93</v>
      </c>
      <c r="B26" s="50" t="s">
        <v>506</v>
      </c>
      <c r="C26" s="50" t="s">
        <v>304</v>
      </c>
      <c r="D26" s="50" t="s">
        <v>304</v>
      </c>
      <c r="E26" s="67" t="s">
        <v>471</v>
      </c>
      <c r="F26" s="50" t="s">
        <v>304</v>
      </c>
      <c r="G26" s="50" t="s">
        <v>498</v>
      </c>
      <c r="H26" s="67" t="s">
        <v>304</v>
      </c>
      <c r="I26" s="67"/>
      <c r="J26" s="50" t="s">
        <v>304</v>
      </c>
      <c r="L26" s="50" t="s">
        <v>20</v>
      </c>
      <c r="M26" s="50" t="s">
        <v>21</v>
      </c>
      <c r="N26" s="50" t="s">
        <v>94</v>
      </c>
      <c r="O26" s="50" t="s">
        <v>505</v>
      </c>
      <c r="R26" s="51">
        <v>44768</v>
      </c>
    </row>
    <row r="27" spans="1:18">
      <c r="A27" s="50" t="s">
        <v>96</v>
      </c>
      <c r="B27" s="50" t="s">
        <v>469</v>
      </c>
      <c r="C27" s="50">
        <v>15255</v>
      </c>
      <c r="D27" s="50" t="s">
        <v>491</v>
      </c>
      <c r="E27" s="67">
        <v>0.31</v>
      </c>
      <c r="F27" s="50" t="s">
        <v>483</v>
      </c>
      <c r="G27" s="50" t="s">
        <v>476</v>
      </c>
      <c r="H27" s="67">
        <v>1993</v>
      </c>
      <c r="I27" s="67"/>
      <c r="J27" s="50" t="s">
        <v>484</v>
      </c>
      <c r="L27" s="50" t="s">
        <v>29</v>
      </c>
      <c r="M27" s="50" t="s">
        <v>10</v>
      </c>
      <c r="N27" s="50" t="s">
        <v>97</v>
      </c>
      <c r="O27" s="50" t="s">
        <v>505</v>
      </c>
      <c r="R27" s="51"/>
    </row>
    <row r="28" spans="1:18">
      <c r="A28" s="50" t="s">
        <v>98</v>
      </c>
      <c r="B28" s="50" t="s">
        <v>469</v>
      </c>
      <c r="C28" s="50">
        <v>2360</v>
      </c>
      <c r="D28" s="50" t="s">
        <v>470</v>
      </c>
      <c r="E28" s="67" t="s">
        <v>471</v>
      </c>
      <c r="F28" s="50" t="s">
        <v>304</v>
      </c>
      <c r="G28" s="50" t="s">
        <v>476</v>
      </c>
      <c r="H28" s="67" t="s">
        <v>507</v>
      </c>
      <c r="I28" s="69" t="s">
        <v>514</v>
      </c>
      <c r="J28" s="50" t="s">
        <v>515</v>
      </c>
      <c r="M28" s="50" t="s">
        <v>16</v>
      </c>
      <c r="N28" s="50" t="s">
        <v>99</v>
      </c>
      <c r="O28" s="50" t="s">
        <v>505</v>
      </c>
      <c r="R28" s="51">
        <v>44568</v>
      </c>
    </row>
    <row r="29" spans="1:18">
      <c r="A29" s="50" t="s">
        <v>100</v>
      </c>
      <c r="B29" s="50" t="s">
        <v>469</v>
      </c>
      <c r="C29" s="50">
        <v>8355</v>
      </c>
      <c r="D29" s="50" t="s">
        <v>501</v>
      </c>
      <c r="E29" s="67">
        <v>0.64</v>
      </c>
      <c r="F29" s="50" t="s">
        <v>475</v>
      </c>
      <c r="G29" s="50" t="s">
        <v>498</v>
      </c>
      <c r="H29" s="67" t="s">
        <v>507</v>
      </c>
      <c r="I29" s="67">
        <v>2007</v>
      </c>
      <c r="J29" s="50" t="s">
        <v>477</v>
      </c>
      <c r="M29" s="50" t="s">
        <v>16</v>
      </c>
      <c r="N29" s="50" t="s">
        <v>101</v>
      </c>
      <c r="O29" s="50" t="s">
        <v>505</v>
      </c>
      <c r="R29" s="51">
        <v>43648</v>
      </c>
    </row>
    <row r="30" spans="1:18">
      <c r="A30" s="50" t="s">
        <v>102</v>
      </c>
      <c r="B30" s="50" t="s">
        <v>469</v>
      </c>
      <c r="C30" s="50">
        <v>2220</v>
      </c>
      <c r="D30" s="50" t="s">
        <v>470</v>
      </c>
      <c r="E30" s="67">
        <v>0.25</v>
      </c>
      <c r="F30" s="50" t="s">
        <v>483</v>
      </c>
      <c r="G30" s="50" t="s">
        <v>490</v>
      </c>
      <c r="H30" s="67">
        <v>2012</v>
      </c>
      <c r="I30" s="67"/>
      <c r="J30" s="50" t="s">
        <v>477</v>
      </c>
      <c r="K30" s="50" t="s">
        <v>513</v>
      </c>
      <c r="M30" s="50" t="s">
        <v>16</v>
      </c>
      <c r="N30" s="50" t="s">
        <v>103</v>
      </c>
      <c r="O30" s="50" t="s">
        <v>505</v>
      </c>
      <c r="R30" s="51">
        <v>43587</v>
      </c>
    </row>
    <row r="31" spans="1:18">
      <c r="A31" s="50" t="s">
        <v>510</v>
      </c>
      <c r="B31" s="50" t="s">
        <v>469</v>
      </c>
      <c r="C31" s="50">
        <v>920</v>
      </c>
      <c r="D31" s="50" t="s">
        <v>470</v>
      </c>
      <c r="E31" s="67" t="s">
        <v>471</v>
      </c>
      <c r="F31" s="50" t="s">
        <v>304</v>
      </c>
      <c r="G31" s="50" t="s">
        <v>503</v>
      </c>
      <c r="H31" s="67">
        <v>2017</v>
      </c>
      <c r="I31" s="67"/>
      <c r="J31" s="50" t="s">
        <v>477</v>
      </c>
      <c r="M31" s="50" t="s">
        <v>16</v>
      </c>
      <c r="O31" s="50" t="s">
        <v>505</v>
      </c>
      <c r="R31" s="51">
        <v>43510</v>
      </c>
    </row>
    <row r="32" spans="1:18">
      <c r="A32" s="50" t="s">
        <v>104</v>
      </c>
      <c r="B32" s="50" t="s">
        <v>469</v>
      </c>
      <c r="C32" s="50">
        <v>10140</v>
      </c>
      <c r="D32" s="50" t="s">
        <v>493</v>
      </c>
      <c r="E32" s="67">
        <v>0.67</v>
      </c>
      <c r="F32" s="50" t="s">
        <v>480</v>
      </c>
      <c r="G32" s="50" t="s">
        <v>476</v>
      </c>
      <c r="H32" s="67">
        <v>1966</v>
      </c>
      <c r="I32" s="67"/>
      <c r="J32" s="50" t="s">
        <v>473</v>
      </c>
      <c r="L32" s="50" t="s">
        <v>29</v>
      </c>
      <c r="M32" s="50" t="s">
        <v>32</v>
      </c>
      <c r="N32" s="50" t="s">
        <v>105</v>
      </c>
      <c r="O32" s="50" t="s">
        <v>505</v>
      </c>
      <c r="R32" s="51">
        <v>43587</v>
      </c>
    </row>
    <row r="33" spans="1:18">
      <c r="A33" s="50" t="s">
        <v>112</v>
      </c>
      <c r="B33" s="50" t="s">
        <v>469</v>
      </c>
      <c r="C33" s="50">
        <v>21000</v>
      </c>
      <c r="D33" s="50" t="s">
        <v>479</v>
      </c>
      <c r="E33" s="68">
        <v>0.8</v>
      </c>
      <c r="F33" s="50" t="s">
        <v>480</v>
      </c>
      <c r="G33" s="50" t="s">
        <v>498</v>
      </c>
      <c r="H33" s="67">
        <v>2007</v>
      </c>
      <c r="I33" s="67"/>
      <c r="J33" s="50" t="s">
        <v>477</v>
      </c>
      <c r="K33" s="50" t="s">
        <v>482</v>
      </c>
      <c r="L33" s="50" t="s">
        <v>20</v>
      </c>
      <c r="M33" s="50" t="s">
        <v>32</v>
      </c>
      <c r="N33" s="50" t="s">
        <v>113</v>
      </c>
      <c r="O33" s="50" t="s">
        <v>505</v>
      </c>
      <c r="R33" s="51">
        <v>44776</v>
      </c>
    </row>
    <row r="34" spans="1:18">
      <c r="A34" s="50" t="s">
        <v>114</v>
      </c>
      <c r="B34" s="50" t="s">
        <v>506</v>
      </c>
      <c r="C34" s="50">
        <v>250</v>
      </c>
      <c r="D34" s="50" t="s">
        <v>470</v>
      </c>
      <c r="E34" s="67" t="s">
        <v>471</v>
      </c>
      <c r="F34" s="50" t="s">
        <v>304</v>
      </c>
      <c r="G34" s="50" t="s">
        <v>498</v>
      </c>
      <c r="H34" s="67" t="s">
        <v>304</v>
      </c>
      <c r="I34" s="67"/>
      <c r="J34" s="50" t="s">
        <v>304</v>
      </c>
      <c r="L34" s="50" t="s">
        <v>20</v>
      </c>
      <c r="M34" s="50" t="s">
        <v>32</v>
      </c>
      <c r="N34" s="50" t="s">
        <v>115</v>
      </c>
      <c r="O34" s="50" t="s">
        <v>505</v>
      </c>
      <c r="R34" s="51">
        <v>43587</v>
      </c>
    </row>
    <row r="35" spans="1:18">
      <c r="A35" s="50" t="s">
        <v>116</v>
      </c>
      <c r="B35" s="50" t="s">
        <v>506</v>
      </c>
      <c r="C35" s="50" t="s">
        <v>304</v>
      </c>
      <c r="D35" s="50" t="s">
        <v>304</v>
      </c>
      <c r="E35" s="67" t="s">
        <v>471</v>
      </c>
      <c r="F35" s="50" t="s">
        <v>304</v>
      </c>
      <c r="G35" s="50" t="s">
        <v>488</v>
      </c>
      <c r="H35" s="67" t="s">
        <v>304</v>
      </c>
      <c r="I35" s="67"/>
      <c r="J35" s="50" t="s">
        <v>304</v>
      </c>
      <c r="M35" s="50" t="s">
        <v>21</v>
      </c>
      <c r="N35" s="50" t="s">
        <v>118</v>
      </c>
      <c r="O35" s="50" t="s">
        <v>505</v>
      </c>
      <c r="R35" s="51">
        <v>43587</v>
      </c>
    </row>
    <row r="36" spans="1:18">
      <c r="A36" s="50" t="s">
        <v>119</v>
      </c>
      <c r="B36" s="50" t="s">
        <v>469</v>
      </c>
      <c r="C36" s="50">
        <v>9855</v>
      </c>
      <c r="D36" s="50" t="s">
        <v>501</v>
      </c>
      <c r="E36" s="67">
        <v>0.52</v>
      </c>
      <c r="F36" s="50" t="s">
        <v>475</v>
      </c>
      <c r="G36" s="50" t="s">
        <v>490</v>
      </c>
      <c r="H36" s="67">
        <v>1962</v>
      </c>
      <c r="I36" s="67"/>
      <c r="J36" s="50" t="s">
        <v>473</v>
      </c>
      <c r="L36" s="50" t="s">
        <v>20</v>
      </c>
      <c r="M36" s="50" t="s">
        <v>81</v>
      </c>
      <c r="N36" s="50" t="s">
        <v>543</v>
      </c>
      <c r="O36" s="50" t="s">
        <v>540</v>
      </c>
      <c r="P36" s="50" t="s">
        <v>16</v>
      </c>
      <c r="Q36" s="50" t="s">
        <v>121</v>
      </c>
      <c r="R36" s="51">
        <v>43613</v>
      </c>
    </row>
    <row r="37" spans="1:18">
      <c r="A37" s="50" t="s">
        <v>123</v>
      </c>
      <c r="B37" s="50" t="s">
        <v>469</v>
      </c>
      <c r="C37" s="50">
        <v>35360</v>
      </c>
      <c r="D37" s="50" t="s">
        <v>486</v>
      </c>
      <c r="E37" s="67">
        <v>0.69</v>
      </c>
      <c r="F37" s="50" t="s">
        <v>480</v>
      </c>
      <c r="G37" s="50" t="s">
        <v>498</v>
      </c>
      <c r="H37" s="67" t="s">
        <v>507</v>
      </c>
      <c r="I37" s="67">
        <v>2006</v>
      </c>
      <c r="J37" s="50" t="s">
        <v>477</v>
      </c>
      <c r="K37" s="50" t="s">
        <v>482</v>
      </c>
      <c r="L37" s="50" t="s">
        <v>29</v>
      </c>
      <c r="M37" s="50" t="s">
        <v>10</v>
      </c>
      <c r="N37" s="50" t="s">
        <v>124</v>
      </c>
      <c r="O37" s="50" t="s">
        <v>529</v>
      </c>
      <c r="P37" s="50" t="s">
        <v>21</v>
      </c>
      <c r="Q37" s="50" t="s">
        <v>125</v>
      </c>
      <c r="R37" s="51">
        <v>44704</v>
      </c>
    </row>
    <row r="38" spans="1:18">
      <c r="A38" s="50" t="s">
        <v>128</v>
      </c>
      <c r="B38" s="50" t="s">
        <v>469</v>
      </c>
      <c r="C38" s="50">
        <v>15800</v>
      </c>
      <c r="D38" s="50" t="s">
        <v>491</v>
      </c>
      <c r="E38" s="67">
        <v>0.39</v>
      </c>
      <c r="F38" s="50" t="s">
        <v>475</v>
      </c>
      <c r="G38" s="50" t="s">
        <v>498</v>
      </c>
      <c r="H38" s="67">
        <v>1993</v>
      </c>
      <c r="I38" s="67"/>
      <c r="J38" s="50" t="s">
        <v>484</v>
      </c>
      <c r="M38" s="50" t="s">
        <v>16</v>
      </c>
      <c r="N38" s="50" t="s">
        <v>129</v>
      </c>
      <c r="O38" s="50" t="s">
        <v>505</v>
      </c>
      <c r="R38" s="51"/>
    </row>
    <row r="39" spans="1:18">
      <c r="A39" s="50" t="s">
        <v>130</v>
      </c>
      <c r="B39" s="50" t="s">
        <v>469</v>
      </c>
      <c r="C39" s="50">
        <v>15280</v>
      </c>
      <c r="D39" s="50" t="s">
        <v>491</v>
      </c>
      <c r="E39" s="68">
        <v>0.8</v>
      </c>
      <c r="F39" s="50" t="s">
        <v>480</v>
      </c>
      <c r="G39" s="50" t="s">
        <v>487</v>
      </c>
      <c r="H39" s="67">
        <v>1964</v>
      </c>
      <c r="I39" s="67"/>
      <c r="J39" s="50" t="s">
        <v>473</v>
      </c>
      <c r="L39" s="50" t="s">
        <v>132</v>
      </c>
      <c r="M39" s="50" t="s">
        <v>16</v>
      </c>
      <c r="N39" s="50" t="s">
        <v>131</v>
      </c>
      <c r="O39" s="50" t="s">
        <v>540</v>
      </c>
      <c r="P39" s="50" t="s">
        <v>16</v>
      </c>
      <c r="Q39" s="50" t="s">
        <v>133</v>
      </c>
      <c r="R39" s="51">
        <v>43587</v>
      </c>
    </row>
    <row r="40" spans="1:18">
      <c r="A40" s="50" t="s">
        <v>136</v>
      </c>
      <c r="B40" s="50" t="s">
        <v>469</v>
      </c>
      <c r="C40" s="50">
        <v>2245</v>
      </c>
      <c r="D40" s="50" t="s">
        <v>470</v>
      </c>
      <c r="E40" s="67">
        <v>0.48</v>
      </c>
      <c r="F40" s="50" t="s">
        <v>475</v>
      </c>
      <c r="G40" s="50" t="s">
        <v>508</v>
      </c>
      <c r="H40" s="67">
        <v>2017</v>
      </c>
      <c r="I40" s="67"/>
      <c r="J40" s="50" t="s">
        <v>477</v>
      </c>
      <c r="K40" s="50" t="s">
        <v>513</v>
      </c>
      <c r="M40" s="50" t="s">
        <v>16</v>
      </c>
      <c r="N40" s="50" t="s">
        <v>138</v>
      </c>
      <c r="O40" s="50" t="s">
        <v>505</v>
      </c>
      <c r="R40" s="51">
        <v>43587</v>
      </c>
    </row>
    <row r="41" spans="1:18">
      <c r="A41" s="50" t="s">
        <v>531</v>
      </c>
      <c r="B41" s="50" t="s">
        <v>469</v>
      </c>
      <c r="C41" s="50">
        <v>19950</v>
      </c>
      <c r="D41" s="50" t="s">
        <v>491</v>
      </c>
      <c r="E41" s="67">
        <v>0.36</v>
      </c>
      <c r="F41" s="50" t="s">
        <v>475</v>
      </c>
      <c r="G41" s="50" t="s">
        <v>508</v>
      </c>
      <c r="H41" s="67">
        <v>1992</v>
      </c>
      <c r="I41" s="67"/>
      <c r="J41" s="50" t="s">
        <v>484</v>
      </c>
      <c r="L41" s="50" t="s">
        <v>20</v>
      </c>
      <c r="M41" s="50" t="s">
        <v>16</v>
      </c>
      <c r="N41" s="50" t="s">
        <v>140</v>
      </c>
      <c r="O41" s="50" t="s">
        <v>529</v>
      </c>
      <c r="P41" s="50" t="s">
        <v>21</v>
      </c>
      <c r="Q41" s="50" t="s">
        <v>141</v>
      </c>
      <c r="R41" s="51">
        <v>44848</v>
      </c>
    </row>
    <row r="42" spans="1:18">
      <c r="A42" s="50" t="s">
        <v>144</v>
      </c>
      <c r="B42" s="50" t="s">
        <v>469</v>
      </c>
      <c r="C42" s="50">
        <v>23725</v>
      </c>
      <c r="D42" s="50" t="s">
        <v>479</v>
      </c>
      <c r="E42" s="67">
        <v>0.45</v>
      </c>
      <c r="F42" s="50" t="s">
        <v>475</v>
      </c>
      <c r="G42" s="50" t="s">
        <v>487</v>
      </c>
      <c r="H42" s="67">
        <v>1992</v>
      </c>
      <c r="I42" s="67"/>
      <c r="J42" s="50" t="s">
        <v>484</v>
      </c>
      <c r="L42" s="50" t="s">
        <v>20</v>
      </c>
      <c r="M42" s="50" t="s">
        <v>16</v>
      </c>
      <c r="N42" s="50" t="s">
        <v>145</v>
      </c>
      <c r="O42" s="50" t="s">
        <v>505</v>
      </c>
      <c r="R42" s="51">
        <v>43587</v>
      </c>
    </row>
    <row r="43" spans="1:18">
      <c r="A43" s="50" t="s">
        <v>146</v>
      </c>
      <c r="B43" s="50" t="s">
        <v>506</v>
      </c>
      <c r="C43" s="50">
        <v>165</v>
      </c>
      <c r="D43" s="50" t="s">
        <v>470</v>
      </c>
      <c r="E43" s="67" t="s">
        <v>471</v>
      </c>
      <c r="F43" s="50" t="s">
        <v>304</v>
      </c>
      <c r="G43" s="50" t="s">
        <v>487</v>
      </c>
      <c r="H43" s="67" t="s">
        <v>304</v>
      </c>
      <c r="I43" s="67"/>
      <c r="J43" s="50" t="s">
        <v>304</v>
      </c>
      <c r="L43" s="50" t="s">
        <v>65</v>
      </c>
      <c r="M43" s="50" t="s">
        <v>16</v>
      </c>
      <c r="N43" s="50" t="s">
        <v>147</v>
      </c>
      <c r="O43" s="50" t="s">
        <v>505</v>
      </c>
      <c r="R43" s="51">
        <v>43618</v>
      </c>
    </row>
    <row r="44" spans="1:18">
      <c r="A44" s="50" t="s">
        <v>516</v>
      </c>
      <c r="B44" s="50" t="s">
        <v>469</v>
      </c>
      <c r="C44" s="50">
        <v>12150</v>
      </c>
      <c r="D44" s="50" t="s">
        <v>493</v>
      </c>
      <c r="E44" s="67">
        <v>0.65</v>
      </c>
      <c r="F44" s="50" t="s">
        <v>475</v>
      </c>
      <c r="G44" s="50" t="s">
        <v>498</v>
      </c>
      <c r="H44" s="67">
        <v>2022</v>
      </c>
      <c r="I44" s="67"/>
      <c r="J44" s="50" t="s">
        <v>477</v>
      </c>
      <c r="K44" s="50" t="s">
        <v>482</v>
      </c>
      <c r="L44" s="50" t="s">
        <v>151</v>
      </c>
      <c r="M44" s="50" t="s">
        <v>16</v>
      </c>
      <c r="N44" s="50" t="s">
        <v>150</v>
      </c>
      <c r="O44" s="50" t="s">
        <v>505</v>
      </c>
      <c r="R44" s="51">
        <v>43587</v>
      </c>
    </row>
    <row r="45" spans="1:18">
      <c r="A45" s="50" t="s">
        <v>542</v>
      </c>
      <c r="B45" s="50" t="s">
        <v>469</v>
      </c>
      <c r="C45" s="50">
        <v>870</v>
      </c>
      <c r="D45" s="50" t="s">
        <v>470</v>
      </c>
      <c r="E45" s="67" t="s">
        <v>471</v>
      </c>
      <c r="F45" s="50" t="s">
        <v>304</v>
      </c>
      <c r="G45" s="50" t="s">
        <v>498</v>
      </c>
      <c r="H45" s="67" t="s">
        <v>507</v>
      </c>
      <c r="I45" s="67">
        <v>2010</v>
      </c>
      <c r="J45" s="50" t="s">
        <v>477</v>
      </c>
      <c r="L45" s="50" t="s">
        <v>20</v>
      </c>
      <c r="M45" s="50" t="s">
        <v>16</v>
      </c>
      <c r="N45" s="50" t="s">
        <v>154</v>
      </c>
      <c r="O45" s="50" t="s">
        <v>540</v>
      </c>
      <c r="P45" s="50" t="s">
        <v>16</v>
      </c>
      <c r="Q45" s="50" t="s">
        <v>155</v>
      </c>
      <c r="R45" s="51">
        <v>44768</v>
      </c>
    </row>
    <row r="46" spans="1:18">
      <c r="A46" s="50" t="s">
        <v>157</v>
      </c>
      <c r="B46" s="50" t="s">
        <v>469</v>
      </c>
      <c r="C46" s="50">
        <v>14565</v>
      </c>
      <c r="D46" s="50" t="s">
        <v>493</v>
      </c>
      <c r="E46" s="67">
        <v>0.23</v>
      </c>
      <c r="F46" s="50" t="s">
        <v>483</v>
      </c>
      <c r="G46" s="50" t="s">
        <v>498</v>
      </c>
      <c r="H46" s="67">
        <v>1992</v>
      </c>
      <c r="I46" s="67"/>
      <c r="J46" s="50" t="s">
        <v>484</v>
      </c>
      <c r="L46" s="50" t="s">
        <v>117</v>
      </c>
      <c r="M46" s="50" t="s">
        <v>499</v>
      </c>
      <c r="N46" s="50" t="s">
        <v>158</v>
      </c>
      <c r="O46" s="50" t="s">
        <v>505</v>
      </c>
      <c r="R46" s="51">
        <v>44768</v>
      </c>
    </row>
    <row r="47" spans="1:18">
      <c r="A47" s="50" t="s">
        <v>495</v>
      </c>
      <c r="B47" s="50" t="s">
        <v>469</v>
      </c>
      <c r="C47" s="50">
        <v>16420</v>
      </c>
      <c r="D47" s="50" t="s">
        <v>491</v>
      </c>
      <c r="E47" s="67">
        <v>0.71</v>
      </c>
      <c r="F47" s="50" t="s">
        <v>480</v>
      </c>
      <c r="G47" s="50" t="s">
        <v>496</v>
      </c>
      <c r="H47" s="67">
        <v>1966</v>
      </c>
      <c r="I47" s="67"/>
      <c r="J47" s="50" t="s">
        <v>473</v>
      </c>
      <c r="L47" s="50" t="s">
        <v>20</v>
      </c>
      <c r="M47" s="50" t="s">
        <v>21</v>
      </c>
      <c r="N47" s="50" t="s">
        <v>163</v>
      </c>
      <c r="O47" s="50" t="s">
        <v>474</v>
      </c>
      <c r="P47" s="50" t="s">
        <v>21</v>
      </c>
      <c r="Q47" s="50" t="s">
        <v>163</v>
      </c>
      <c r="R47" s="51">
        <v>43613</v>
      </c>
    </row>
    <row r="48" spans="1:18">
      <c r="A48" s="50" t="s">
        <v>485</v>
      </c>
      <c r="B48" s="50" t="s">
        <v>469</v>
      </c>
      <c r="C48" s="50">
        <v>32145</v>
      </c>
      <c r="D48" s="50" t="s">
        <v>486</v>
      </c>
      <c r="E48" s="67">
        <v>0.36</v>
      </c>
      <c r="F48" s="50" t="s">
        <v>475</v>
      </c>
      <c r="G48" s="50" t="s">
        <v>487</v>
      </c>
      <c r="H48" s="67">
        <v>1992</v>
      </c>
      <c r="I48" s="67"/>
      <c r="J48" s="50" t="s">
        <v>484</v>
      </c>
      <c r="L48" s="50" t="s">
        <v>20</v>
      </c>
      <c r="M48" s="50" t="s">
        <v>16</v>
      </c>
      <c r="N48" s="50" t="s">
        <v>166</v>
      </c>
      <c r="O48" s="50" t="s">
        <v>474</v>
      </c>
      <c r="P48" s="50" t="s">
        <v>16</v>
      </c>
      <c r="Q48" s="50" t="s">
        <v>167</v>
      </c>
      <c r="R48" s="51">
        <v>43615</v>
      </c>
    </row>
    <row r="49" spans="1:18">
      <c r="A49" s="50" t="s">
        <v>169</v>
      </c>
      <c r="B49" s="50" t="s">
        <v>469</v>
      </c>
      <c r="C49" s="50">
        <v>13875</v>
      </c>
      <c r="D49" s="50" t="s">
        <v>493</v>
      </c>
      <c r="E49" s="67">
        <v>0.45</v>
      </c>
      <c r="F49" s="50" t="s">
        <v>475</v>
      </c>
      <c r="G49" s="50" t="s">
        <v>498</v>
      </c>
      <c r="H49" s="67">
        <v>1993</v>
      </c>
      <c r="I49" s="67"/>
      <c r="J49" s="50" t="s">
        <v>484</v>
      </c>
      <c r="L49" s="50" t="s">
        <v>57</v>
      </c>
      <c r="M49" s="50" t="s">
        <v>499</v>
      </c>
      <c r="N49" s="50" t="s">
        <v>170</v>
      </c>
      <c r="O49" s="50" t="s">
        <v>529</v>
      </c>
      <c r="P49" s="50" t="s">
        <v>21</v>
      </c>
      <c r="Q49" s="50" t="s">
        <v>171</v>
      </c>
      <c r="R49" s="51">
        <v>45383</v>
      </c>
    </row>
    <row r="50" spans="1:18">
      <c r="A50" s="50" t="s">
        <v>173</v>
      </c>
      <c r="B50" s="50" t="s">
        <v>506</v>
      </c>
      <c r="C50" s="50" t="s">
        <v>304</v>
      </c>
      <c r="D50" s="50" t="s">
        <v>304</v>
      </c>
      <c r="E50" s="67" t="s">
        <v>471</v>
      </c>
      <c r="F50" s="50" t="s">
        <v>304</v>
      </c>
      <c r="G50" s="50" t="s">
        <v>476</v>
      </c>
      <c r="H50" s="67" t="s">
        <v>304</v>
      </c>
      <c r="I50" s="67"/>
      <c r="J50" s="50" t="s">
        <v>304</v>
      </c>
      <c r="M50" s="50" t="s">
        <v>137</v>
      </c>
      <c r="N50" s="50" t="s">
        <v>528</v>
      </c>
      <c r="O50" s="50" t="s">
        <v>505</v>
      </c>
      <c r="R50" s="51">
        <v>43648</v>
      </c>
    </row>
    <row r="51" spans="1:18">
      <c r="A51" s="50" t="s">
        <v>517</v>
      </c>
      <c r="B51" s="50" t="s">
        <v>506</v>
      </c>
      <c r="C51" s="50" t="s">
        <v>304</v>
      </c>
      <c r="D51" s="50" t="s">
        <v>304</v>
      </c>
      <c r="E51" s="67" t="s">
        <v>471</v>
      </c>
      <c r="F51" s="50" t="s">
        <v>304</v>
      </c>
      <c r="G51" s="50" t="s">
        <v>503</v>
      </c>
      <c r="H51" s="67" t="s">
        <v>304</v>
      </c>
      <c r="I51" s="67"/>
      <c r="J51" s="50" t="s">
        <v>304</v>
      </c>
      <c r="M51" s="50" t="s">
        <v>16</v>
      </c>
      <c r="N51" s="50" t="s">
        <v>180</v>
      </c>
      <c r="O51" s="50" t="s">
        <v>505</v>
      </c>
      <c r="R51" s="51"/>
    </row>
    <row r="52" spans="1:18">
      <c r="A52" s="50" t="s">
        <v>177</v>
      </c>
      <c r="B52" s="50" t="s">
        <v>506</v>
      </c>
      <c r="C52" s="50" t="s">
        <v>304</v>
      </c>
      <c r="D52" s="50" t="s">
        <v>304</v>
      </c>
      <c r="E52" s="67" t="s">
        <v>471</v>
      </c>
      <c r="F52" s="50" t="s">
        <v>304</v>
      </c>
      <c r="G52" s="50" t="s">
        <v>498</v>
      </c>
      <c r="H52" s="67" t="s">
        <v>304</v>
      </c>
      <c r="I52" s="67"/>
      <c r="J52" s="50" t="s">
        <v>304</v>
      </c>
      <c r="L52" s="50" t="s">
        <v>20</v>
      </c>
      <c r="M52" s="50" t="s">
        <v>32</v>
      </c>
      <c r="N52" s="50" t="s">
        <v>178</v>
      </c>
      <c r="O52" s="50" t="s">
        <v>505</v>
      </c>
      <c r="R52" s="51">
        <v>43587</v>
      </c>
    </row>
    <row r="53" spans="1:18">
      <c r="A53" s="50" t="s">
        <v>181</v>
      </c>
      <c r="B53" s="50" t="s">
        <v>469</v>
      </c>
      <c r="C53" s="50">
        <v>24885</v>
      </c>
      <c r="D53" s="50" t="s">
        <v>479</v>
      </c>
      <c r="E53" s="68">
        <v>0.7</v>
      </c>
      <c r="F53" s="50" t="s">
        <v>480</v>
      </c>
      <c r="G53" s="50" t="s">
        <v>527</v>
      </c>
      <c r="H53" s="67">
        <v>1963</v>
      </c>
      <c r="I53" s="67"/>
      <c r="J53" s="50" t="s">
        <v>473</v>
      </c>
      <c r="K53" s="50" t="s">
        <v>482</v>
      </c>
      <c r="L53" s="50" t="s">
        <v>182</v>
      </c>
      <c r="M53" s="50" t="s">
        <v>16</v>
      </c>
      <c r="N53" s="50" t="s">
        <v>183</v>
      </c>
      <c r="O53" s="50" t="s">
        <v>529</v>
      </c>
      <c r="P53" s="50" t="s">
        <v>21</v>
      </c>
      <c r="Q53" s="50" t="s">
        <v>184</v>
      </c>
      <c r="R53" s="51">
        <v>44768</v>
      </c>
    </row>
    <row r="54" spans="1:18">
      <c r="A54" s="50" t="s">
        <v>189</v>
      </c>
      <c r="B54" s="50" t="s">
        <v>469</v>
      </c>
      <c r="C54" s="50">
        <v>23705</v>
      </c>
      <c r="D54" s="50" t="s">
        <v>479</v>
      </c>
      <c r="E54" s="67">
        <v>0.68</v>
      </c>
      <c r="F54" s="50" t="s">
        <v>480</v>
      </c>
      <c r="G54" s="50" t="s">
        <v>527</v>
      </c>
      <c r="H54" s="67">
        <v>1992</v>
      </c>
      <c r="I54" s="67"/>
      <c r="J54" s="50" t="s">
        <v>484</v>
      </c>
      <c r="L54" s="50" t="s">
        <v>29</v>
      </c>
      <c r="M54" s="50" t="s">
        <v>10</v>
      </c>
      <c r="N54" s="50" t="s">
        <v>190</v>
      </c>
      <c r="O54" s="50" t="s">
        <v>529</v>
      </c>
      <c r="P54" s="50" t="s">
        <v>21</v>
      </c>
      <c r="Q54" s="50" t="s">
        <v>191</v>
      </c>
      <c r="R54" s="51">
        <v>45413</v>
      </c>
    </row>
    <row r="55" spans="1:18">
      <c r="A55" s="50" t="s">
        <v>193</v>
      </c>
      <c r="B55" s="50" t="s">
        <v>469</v>
      </c>
      <c r="C55" s="50">
        <v>2625</v>
      </c>
      <c r="D55" s="50" t="s">
        <v>470</v>
      </c>
      <c r="E55" s="67">
        <v>0.13</v>
      </c>
      <c r="F55" s="50" t="s">
        <v>483</v>
      </c>
      <c r="G55" s="50" t="s">
        <v>472</v>
      </c>
      <c r="H55" s="67">
        <v>2012</v>
      </c>
      <c r="I55" s="67"/>
      <c r="J55" s="50" t="s">
        <v>477</v>
      </c>
      <c r="K55" s="50" t="s">
        <v>513</v>
      </c>
      <c r="M55" s="50" t="s">
        <v>16</v>
      </c>
      <c r="N55" s="50" t="s">
        <v>194</v>
      </c>
      <c r="O55" s="50" t="s">
        <v>505</v>
      </c>
      <c r="R55" s="51">
        <v>43587</v>
      </c>
    </row>
    <row r="56" spans="1:18">
      <c r="A56" s="50" t="s">
        <v>195</v>
      </c>
      <c r="B56" s="50" t="s">
        <v>469</v>
      </c>
      <c r="C56" s="50">
        <v>83185</v>
      </c>
      <c r="D56" s="50" t="s">
        <v>486</v>
      </c>
      <c r="E56" s="67" t="s">
        <v>471</v>
      </c>
      <c r="F56" s="50" t="s">
        <v>304</v>
      </c>
      <c r="G56" s="50" t="s">
        <v>488</v>
      </c>
      <c r="H56" s="67">
        <v>1969</v>
      </c>
      <c r="I56" s="67"/>
      <c r="J56" s="50" t="s">
        <v>473</v>
      </c>
      <c r="L56" s="50" t="s">
        <v>81</v>
      </c>
      <c r="M56" s="50" t="s">
        <v>16</v>
      </c>
      <c r="N56" s="50" t="s">
        <v>196</v>
      </c>
      <c r="O56" s="50" t="s">
        <v>529</v>
      </c>
      <c r="P56" s="50" t="s">
        <v>21</v>
      </c>
      <c r="Q56" s="50" t="s">
        <v>197</v>
      </c>
      <c r="R56" s="51">
        <v>43613</v>
      </c>
    </row>
    <row r="57" spans="1:18">
      <c r="A57" s="50" t="s">
        <v>198</v>
      </c>
      <c r="B57" s="50" t="s">
        <v>469</v>
      </c>
      <c r="C57" s="50">
        <v>13040</v>
      </c>
      <c r="D57" s="50" t="s">
        <v>493</v>
      </c>
      <c r="E57" s="67">
        <v>0.39</v>
      </c>
      <c r="F57" s="50" t="s">
        <v>475</v>
      </c>
      <c r="G57" s="50" t="s">
        <v>488</v>
      </c>
      <c r="H57" s="67">
        <v>1992</v>
      </c>
      <c r="I57" s="67"/>
      <c r="J57" s="50" t="s">
        <v>484</v>
      </c>
      <c r="L57" s="50" t="s">
        <v>65</v>
      </c>
      <c r="M57" s="50" t="s">
        <v>500</v>
      </c>
      <c r="N57" s="50" t="s">
        <v>200</v>
      </c>
      <c r="O57" s="50" t="s">
        <v>474</v>
      </c>
      <c r="P57" s="50" t="s">
        <v>500</v>
      </c>
      <c r="Q57" s="50" t="s">
        <v>200</v>
      </c>
      <c r="R57" s="51">
        <v>45406</v>
      </c>
    </row>
    <row r="58" spans="1:18">
      <c r="A58" s="50" t="s">
        <v>202</v>
      </c>
      <c r="B58" s="50" t="s">
        <v>469</v>
      </c>
      <c r="C58" s="50">
        <v>4475</v>
      </c>
      <c r="D58" s="50" t="s">
        <v>470</v>
      </c>
      <c r="E58" s="67">
        <v>0.37</v>
      </c>
      <c r="F58" s="50" t="s">
        <v>475</v>
      </c>
      <c r="G58" s="50" t="s">
        <v>476</v>
      </c>
      <c r="H58" s="67">
        <v>2007</v>
      </c>
      <c r="I58" s="67"/>
      <c r="J58" s="50" t="s">
        <v>477</v>
      </c>
      <c r="K58" s="50" t="s">
        <v>478</v>
      </c>
      <c r="L58" s="50" t="s">
        <v>204</v>
      </c>
      <c r="M58" s="50" t="s">
        <v>32</v>
      </c>
      <c r="N58" s="50" t="s">
        <v>203</v>
      </c>
      <c r="O58" s="50" t="s">
        <v>474</v>
      </c>
      <c r="P58" s="50" t="s">
        <v>32</v>
      </c>
      <c r="Q58" s="50" t="s">
        <v>205</v>
      </c>
      <c r="R58" s="51">
        <v>43613</v>
      </c>
    </row>
    <row r="59" spans="1:18">
      <c r="A59" s="50" t="s">
        <v>207</v>
      </c>
      <c r="B59" s="50" t="s">
        <v>469</v>
      </c>
      <c r="C59" s="50">
        <v>25110</v>
      </c>
      <c r="D59" s="50" t="s">
        <v>486</v>
      </c>
      <c r="E59" s="67">
        <v>0.61</v>
      </c>
      <c r="F59" s="50" t="s">
        <v>475</v>
      </c>
      <c r="G59" s="50" t="s">
        <v>498</v>
      </c>
      <c r="H59" s="67" t="s">
        <v>507</v>
      </c>
      <c r="I59" s="67">
        <v>2008</v>
      </c>
      <c r="J59" s="50" t="s">
        <v>477</v>
      </c>
      <c r="K59" s="50" t="s">
        <v>482</v>
      </c>
      <c r="L59" s="50" t="s">
        <v>20</v>
      </c>
      <c r="M59" s="50" t="s">
        <v>32</v>
      </c>
      <c r="N59" s="50" t="s">
        <v>208</v>
      </c>
      <c r="O59" s="50" t="s">
        <v>505</v>
      </c>
      <c r="R59" s="51">
        <v>45223</v>
      </c>
    </row>
    <row r="60" spans="1:18">
      <c r="A60" s="50" t="s">
        <v>210</v>
      </c>
      <c r="B60" s="50" t="s">
        <v>469</v>
      </c>
      <c r="C60" s="50">
        <v>21110</v>
      </c>
      <c r="D60" s="50" t="s">
        <v>479</v>
      </c>
      <c r="E60" s="68">
        <v>0.7</v>
      </c>
      <c r="F60" s="50" t="s">
        <v>480</v>
      </c>
      <c r="G60" s="50" t="s">
        <v>502</v>
      </c>
      <c r="H60" s="67">
        <v>1908</v>
      </c>
      <c r="I60" s="67"/>
      <c r="J60" s="50" t="s">
        <v>489</v>
      </c>
      <c r="K60" s="50" t="s">
        <v>482</v>
      </c>
      <c r="L60" s="50" t="s">
        <v>10</v>
      </c>
      <c r="M60" s="50" t="s">
        <v>10</v>
      </c>
      <c r="N60" s="50" t="s">
        <v>211</v>
      </c>
      <c r="O60" s="50" t="s">
        <v>474</v>
      </c>
      <c r="P60" s="50" t="s">
        <v>10</v>
      </c>
      <c r="Q60" s="50" t="s">
        <v>211</v>
      </c>
      <c r="R60" s="51">
        <v>44768</v>
      </c>
    </row>
    <row r="61" spans="1:18">
      <c r="A61" s="50" t="s">
        <v>212</v>
      </c>
      <c r="B61" s="50" t="s">
        <v>469</v>
      </c>
      <c r="C61" s="50">
        <v>10040</v>
      </c>
      <c r="D61" s="50" t="s">
        <v>493</v>
      </c>
      <c r="E61" s="67">
        <v>0.17</v>
      </c>
      <c r="F61" s="50" t="s">
        <v>483</v>
      </c>
      <c r="G61" s="50" t="s">
        <v>476</v>
      </c>
      <c r="H61" s="67">
        <v>1992</v>
      </c>
      <c r="I61" s="67"/>
      <c r="J61" s="50" t="s">
        <v>484</v>
      </c>
      <c r="L61" s="50" t="s">
        <v>81</v>
      </c>
      <c r="M61" s="50" t="s">
        <v>81</v>
      </c>
      <c r="N61" s="50" t="s">
        <v>213</v>
      </c>
      <c r="O61" s="50" t="s">
        <v>474</v>
      </c>
      <c r="P61" s="50" t="s">
        <v>81</v>
      </c>
      <c r="Q61" s="50" t="s">
        <v>213</v>
      </c>
      <c r="R61" s="51">
        <v>44659</v>
      </c>
    </row>
    <row r="62" spans="1:18">
      <c r="A62" s="50" t="s">
        <v>214</v>
      </c>
      <c r="B62" s="50" t="s">
        <v>506</v>
      </c>
      <c r="C62" s="50" t="s">
        <v>304</v>
      </c>
      <c r="D62" s="50" t="s">
        <v>304</v>
      </c>
      <c r="E62" s="67" t="s">
        <v>471</v>
      </c>
      <c r="F62" s="50" t="s">
        <v>304</v>
      </c>
      <c r="G62" s="50" t="s">
        <v>488</v>
      </c>
      <c r="H62" s="67" t="s">
        <v>304</v>
      </c>
      <c r="I62" s="67"/>
      <c r="J62" s="50" t="s">
        <v>304</v>
      </c>
      <c r="L62" s="50" t="s">
        <v>204</v>
      </c>
      <c r="M62" s="50" t="s">
        <v>499</v>
      </c>
      <c r="N62" s="50" t="s">
        <v>215</v>
      </c>
      <c r="O62" s="50" t="s">
        <v>505</v>
      </c>
      <c r="R62" s="51"/>
    </row>
    <row r="63" spans="1:18">
      <c r="A63" s="50" t="s">
        <v>518</v>
      </c>
      <c r="B63" s="50" t="s">
        <v>506</v>
      </c>
      <c r="C63" s="50">
        <v>930</v>
      </c>
      <c r="D63" s="50" t="s">
        <v>470</v>
      </c>
      <c r="E63" s="67" t="s">
        <v>471</v>
      </c>
      <c r="F63" s="50" t="s">
        <v>304</v>
      </c>
      <c r="G63" s="50" t="s">
        <v>498</v>
      </c>
      <c r="H63" s="67" t="s">
        <v>304</v>
      </c>
      <c r="I63" s="67"/>
      <c r="J63" s="50" t="s">
        <v>304</v>
      </c>
      <c r="L63" s="50" t="s">
        <v>218</v>
      </c>
      <c r="M63" s="50" t="s">
        <v>16</v>
      </c>
      <c r="N63" s="50" t="s">
        <v>217</v>
      </c>
      <c r="O63" s="50" t="s">
        <v>505</v>
      </c>
      <c r="R63" s="51">
        <v>43587</v>
      </c>
    </row>
    <row r="64" spans="1:18">
      <c r="A64" s="50" t="s">
        <v>524</v>
      </c>
      <c r="B64" s="50" t="s">
        <v>469</v>
      </c>
      <c r="C64" s="50">
        <v>11525</v>
      </c>
      <c r="D64" s="50" t="s">
        <v>493</v>
      </c>
      <c r="E64" s="68">
        <v>0.7</v>
      </c>
      <c r="F64" s="50" t="s">
        <v>480</v>
      </c>
      <c r="G64" s="50" t="s">
        <v>488</v>
      </c>
      <c r="H64" s="67">
        <v>2022</v>
      </c>
      <c r="I64" s="67"/>
      <c r="J64" s="50" t="s">
        <v>477</v>
      </c>
      <c r="L64" s="50" t="s">
        <v>10</v>
      </c>
      <c r="M64" s="50" t="s">
        <v>10</v>
      </c>
      <c r="N64" s="50" t="s">
        <v>525</v>
      </c>
      <c r="O64" s="50" t="s">
        <v>505</v>
      </c>
      <c r="R64" s="51">
        <v>43618</v>
      </c>
    </row>
    <row r="65" spans="1:18">
      <c r="A65" s="50" t="s">
        <v>539</v>
      </c>
      <c r="B65" s="50" t="s">
        <v>506</v>
      </c>
      <c r="C65" s="50" t="s">
        <v>304</v>
      </c>
      <c r="D65" s="50" t="s">
        <v>304</v>
      </c>
      <c r="E65" s="67" t="s">
        <v>471</v>
      </c>
      <c r="F65" s="50" t="s">
        <v>304</v>
      </c>
      <c r="G65" s="50" t="s">
        <v>503</v>
      </c>
      <c r="H65" s="67" t="s">
        <v>304</v>
      </c>
      <c r="I65" s="67"/>
      <c r="J65" s="50" t="s">
        <v>304</v>
      </c>
      <c r="L65" s="50" t="s">
        <v>218</v>
      </c>
      <c r="M65" s="50" t="s">
        <v>32</v>
      </c>
      <c r="N65" s="50" t="s">
        <v>222</v>
      </c>
      <c r="O65" s="50" t="s">
        <v>540</v>
      </c>
      <c r="P65" s="50" t="s">
        <v>32</v>
      </c>
      <c r="Q65" s="50" t="s">
        <v>223</v>
      </c>
      <c r="R65" s="51">
        <v>43615</v>
      </c>
    </row>
    <row r="66" spans="1:18">
      <c r="A66" s="50" t="s">
        <v>519</v>
      </c>
      <c r="B66" s="50" t="s">
        <v>469</v>
      </c>
      <c r="C66" s="50">
        <v>26060</v>
      </c>
      <c r="D66" s="50" t="s">
        <v>486</v>
      </c>
      <c r="E66" s="67">
        <v>0.28000000000000003</v>
      </c>
      <c r="F66" s="50" t="s">
        <v>483</v>
      </c>
      <c r="G66" s="50" t="s">
        <v>508</v>
      </c>
      <c r="H66" s="67">
        <v>1992</v>
      </c>
      <c r="I66" s="67"/>
      <c r="J66" s="50" t="s">
        <v>484</v>
      </c>
      <c r="L66" s="50" t="s">
        <v>20</v>
      </c>
      <c r="M66" s="50" t="s">
        <v>16</v>
      </c>
      <c r="N66" s="50" t="s">
        <v>226</v>
      </c>
      <c r="O66" s="50" t="s">
        <v>505</v>
      </c>
      <c r="R66" s="51">
        <v>43587</v>
      </c>
    </row>
    <row r="67" spans="1:18">
      <c r="A67" s="50" t="s">
        <v>520</v>
      </c>
      <c r="B67" s="50" t="s">
        <v>469</v>
      </c>
      <c r="C67" s="50">
        <v>5240</v>
      </c>
      <c r="D67" s="50" t="s">
        <v>501</v>
      </c>
      <c r="E67" s="67">
        <v>0.56999999999999995</v>
      </c>
      <c r="F67" s="50" t="s">
        <v>475</v>
      </c>
      <c r="G67" s="50" t="s">
        <v>498</v>
      </c>
      <c r="H67" s="67" t="s">
        <v>507</v>
      </c>
      <c r="I67" s="67">
        <v>2011</v>
      </c>
      <c r="J67" s="50" t="s">
        <v>477</v>
      </c>
      <c r="M67" s="50" t="s">
        <v>16</v>
      </c>
      <c r="N67" s="50" t="s">
        <v>229</v>
      </c>
      <c r="O67" s="50" t="s">
        <v>505</v>
      </c>
      <c r="R67" s="51">
        <v>43648</v>
      </c>
    </row>
    <row r="68" spans="1:18">
      <c r="A68" s="50" t="s">
        <v>526</v>
      </c>
      <c r="B68" s="50" t="s">
        <v>469</v>
      </c>
      <c r="C68" s="50">
        <v>7420</v>
      </c>
      <c r="D68" s="50" t="s">
        <v>501</v>
      </c>
      <c r="E68" s="67">
        <v>0.25</v>
      </c>
      <c r="F68" s="50" t="s">
        <v>483</v>
      </c>
      <c r="G68" s="50" t="s">
        <v>488</v>
      </c>
      <c r="H68" s="67">
        <v>2005</v>
      </c>
      <c r="I68" s="67"/>
      <c r="J68" s="50" t="s">
        <v>477</v>
      </c>
      <c r="K68" s="50" t="s">
        <v>478</v>
      </c>
      <c r="L68" s="50" t="s">
        <v>10</v>
      </c>
      <c r="M68" s="50" t="s">
        <v>10</v>
      </c>
      <c r="N68" s="50" t="s">
        <v>231</v>
      </c>
      <c r="O68" s="50" t="s">
        <v>505</v>
      </c>
      <c r="R68" s="51">
        <v>44279</v>
      </c>
    </row>
    <row r="69" spans="1:18">
      <c r="A69" s="50" t="s">
        <v>536</v>
      </c>
      <c r="B69" s="50" t="s">
        <v>469</v>
      </c>
      <c r="C69" s="50">
        <v>1335</v>
      </c>
      <c r="D69" s="50" t="s">
        <v>470</v>
      </c>
      <c r="E69" s="67" t="s">
        <v>471</v>
      </c>
      <c r="F69" s="50" t="s">
        <v>304</v>
      </c>
      <c r="G69" s="50" t="s">
        <v>476</v>
      </c>
      <c r="H69" s="67" t="s">
        <v>507</v>
      </c>
      <c r="I69" s="69" t="s">
        <v>514</v>
      </c>
      <c r="J69" s="50" t="s">
        <v>515</v>
      </c>
      <c r="L69" s="50" t="s">
        <v>10</v>
      </c>
      <c r="M69" s="50" t="s">
        <v>10</v>
      </c>
      <c r="N69" s="50" t="s">
        <v>233</v>
      </c>
      <c r="O69" s="50" t="s">
        <v>529</v>
      </c>
      <c r="P69" s="50" t="s">
        <v>21</v>
      </c>
      <c r="Q69" s="50" t="s">
        <v>234</v>
      </c>
      <c r="R69" s="51">
        <v>45383</v>
      </c>
    </row>
    <row r="70" spans="1:18">
      <c r="A70" s="50" t="s">
        <v>532</v>
      </c>
      <c r="B70" s="50" t="s">
        <v>469</v>
      </c>
      <c r="C70" s="50">
        <v>3705</v>
      </c>
      <c r="D70" s="50" t="s">
        <v>470</v>
      </c>
      <c r="E70" s="67">
        <v>0.38</v>
      </c>
      <c r="F70" s="50" t="s">
        <v>475</v>
      </c>
      <c r="G70" s="50" t="s">
        <v>498</v>
      </c>
      <c r="H70" s="67" t="s">
        <v>507</v>
      </c>
      <c r="I70" s="67">
        <v>1966</v>
      </c>
      <c r="J70" s="50" t="s">
        <v>473</v>
      </c>
      <c r="L70" s="50" t="s">
        <v>20</v>
      </c>
      <c r="M70" s="50" t="s">
        <v>16</v>
      </c>
      <c r="N70" s="50" t="s">
        <v>236</v>
      </c>
      <c r="O70" s="50" t="s">
        <v>529</v>
      </c>
      <c r="P70" s="50" t="s">
        <v>21</v>
      </c>
      <c r="Q70" s="50" t="s">
        <v>237</v>
      </c>
      <c r="R70" s="51">
        <v>45406</v>
      </c>
    </row>
    <row r="71" spans="1:18">
      <c r="A71" s="50" t="s">
        <v>239</v>
      </c>
      <c r="B71" s="50" t="s">
        <v>469</v>
      </c>
      <c r="C71" s="50">
        <v>4635</v>
      </c>
      <c r="D71" s="50" t="s">
        <v>470</v>
      </c>
      <c r="E71" s="67">
        <v>0.47</v>
      </c>
      <c r="F71" s="50" t="s">
        <v>475</v>
      </c>
      <c r="G71" s="50" t="s">
        <v>498</v>
      </c>
      <c r="H71" s="67">
        <v>2014</v>
      </c>
      <c r="I71" s="67"/>
      <c r="J71" s="50" t="s">
        <v>477</v>
      </c>
      <c r="K71" s="50" t="s">
        <v>513</v>
      </c>
      <c r="M71" s="50" t="s">
        <v>16</v>
      </c>
      <c r="N71" s="50" t="s">
        <v>240</v>
      </c>
      <c r="O71" s="50" t="s">
        <v>505</v>
      </c>
      <c r="R71" s="51"/>
    </row>
    <row r="72" spans="1:18">
      <c r="A72" s="50" t="s">
        <v>251</v>
      </c>
      <c r="B72" s="50" t="s">
        <v>469</v>
      </c>
      <c r="C72" s="50">
        <v>18360</v>
      </c>
      <c r="D72" s="50" t="s">
        <v>491</v>
      </c>
      <c r="E72" s="67">
        <v>0.47</v>
      </c>
      <c r="F72" s="50" t="s">
        <v>475</v>
      </c>
      <c r="G72" s="50" t="s">
        <v>494</v>
      </c>
      <c r="H72" s="67">
        <v>2007</v>
      </c>
      <c r="I72" s="67"/>
      <c r="J72" s="50" t="s">
        <v>477</v>
      </c>
      <c r="L72" s="50" t="s">
        <v>254</v>
      </c>
      <c r="M72" s="50" t="s">
        <v>252</v>
      </c>
      <c r="N72" s="50" t="s">
        <v>253</v>
      </c>
      <c r="O72" s="50" t="s">
        <v>529</v>
      </c>
      <c r="P72" s="50" t="s">
        <v>255</v>
      </c>
      <c r="Q72" s="50" t="s">
        <v>256</v>
      </c>
      <c r="R72" s="51">
        <v>43614</v>
      </c>
    </row>
    <row r="73" spans="1:18">
      <c r="A73" s="50" t="s">
        <v>257</v>
      </c>
      <c r="B73" s="50" t="s">
        <v>469</v>
      </c>
      <c r="C73" s="50">
        <v>15860</v>
      </c>
      <c r="D73" s="50" t="s">
        <v>491</v>
      </c>
      <c r="E73" s="67">
        <v>0.32</v>
      </c>
      <c r="F73" s="50" t="s">
        <v>483</v>
      </c>
      <c r="G73" s="50" t="s">
        <v>527</v>
      </c>
      <c r="H73" s="67">
        <v>1992</v>
      </c>
      <c r="I73" s="67"/>
      <c r="J73" s="50" t="s">
        <v>484</v>
      </c>
      <c r="L73" s="50" t="s">
        <v>29</v>
      </c>
      <c r="M73" s="50" t="s">
        <v>10</v>
      </c>
      <c r="N73" s="50" t="s">
        <v>258</v>
      </c>
      <c r="O73" s="50" t="s">
        <v>505</v>
      </c>
      <c r="R73" s="51">
        <v>43587</v>
      </c>
    </row>
    <row r="74" spans="1:18">
      <c r="A74" s="50" t="s">
        <v>259</v>
      </c>
      <c r="B74" s="50" t="s">
        <v>469</v>
      </c>
      <c r="C74" s="50">
        <v>18805</v>
      </c>
      <c r="D74" s="50" t="s">
        <v>491</v>
      </c>
      <c r="E74" s="67">
        <v>0.55000000000000004</v>
      </c>
      <c r="F74" s="50" t="s">
        <v>475</v>
      </c>
      <c r="G74" s="50" t="s">
        <v>502</v>
      </c>
      <c r="H74" s="67">
        <v>1969</v>
      </c>
      <c r="I74" s="67"/>
      <c r="J74" s="50" t="s">
        <v>473</v>
      </c>
      <c r="L74" s="50" t="s">
        <v>10</v>
      </c>
      <c r="M74" s="50" t="s">
        <v>10</v>
      </c>
      <c r="N74" s="50" t="s">
        <v>260</v>
      </c>
      <c r="O74" s="50" t="s">
        <v>474</v>
      </c>
      <c r="P74" s="50" t="s">
        <v>10</v>
      </c>
      <c r="R74" s="51">
        <v>43614</v>
      </c>
    </row>
    <row r="75" spans="1:18">
      <c r="A75" s="50" t="s">
        <v>262</v>
      </c>
      <c r="B75" s="50" t="s">
        <v>469</v>
      </c>
      <c r="C75" s="50">
        <v>41935</v>
      </c>
      <c r="D75" s="50" t="s">
        <v>486</v>
      </c>
      <c r="E75" s="67">
        <v>0.72</v>
      </c>
      <c r="F75" s="50" t="s">
        <v>480</v>
      </c>
      <c r="G75" s="50" t="s">
        <v>498</v>
      </c>
      <c r="H75" s="67">
        <v>1826</v>
      </c>
      <c r="I75" s="67"/>
      <c r="J75" s="50" t="s">
        <v>515</v>
      </c>
      <c r="K75" s="50" t="s">
        <v>482</v>
      </c>
      <c r="L75" s="50" t="s">
        <v>20</v>
      </c>
      <c r="M75" s="50" t="s">
        <v>16</v>
      </c>
      <c r="N75" s="50" t="s">
        <v>263</v>
      </c>
      <c r="O75" s="50" t="s">
        <v>529</v>
      </c>
      <c r="P75" s="50" t="s">
        <v>21</v>
      </c>
      <c r="Q75" s="50" t="s">
        <v>264</v>
      </c>
      <c r="R75" s="51">
        <v>43613</v>
      </c>
    </row>
    <row r="76" spans="1:18">
      <c r="A76" s="50" t="s">
        <v>266</v>
      </c>
      <c r="B76" s="50" t="s">
        <v>469</v>
      </c>
      <c r="C76" s="50">
        <v>5450</v>
      </c>
      <c r="D76" s="50" t="s">
        <v>501</v>
      </c>
      <c r="E76" s="67">
        <v>0.11</v>
      </c>
      <c r="F76" s="50" t="s">
        <v>483</v>
      </c>
      <c r="G76" s="50" t="s">
        <v>488</v>
      </c>
      <c r="H76" s="67">
        <v>2008</v>
      </c>
      <c r="I76" s="67"/>
      <c r="J76" s="50" t="s">
        <v>477</v>
      </c>
      <c r="K76" s="50" t="s">
        <v>478</v>
      </c>
      <c r="M76" s="50" t="s">
        <v>16</v>
      </c>
      <c r="N76" s="50" t="s">
        <v>267</v>
      </c>
      <c r="O76" s="50" t="s">
        <v>505</v>
      </c>
      <c r="R76" s="51">
        <v>44744</v>
      </c>
    </row>
    <row r="77" spans="1:18">
      <c r="A77" s="50" t="s">
        <v>269</v>
      </c>
      <c r="B77" s="50" t="s">
        <v>469</v>
      </c>
      <c r="C77" s="50">
        <v>13455</v>
      </c>
      <c r="D77" s="50" t="s">
        <v>493</v>
      </c>
      <c r="E77" s="67">
        <v>0.73</v>
      </c>
      <c r="F77" s="50" t="s">
        <v>480</v>
      </c>
      <c r="G77" s="50" t="s">
        <v>476</v>
      </c>
      <c r="H77" s="67">
        <v>1495</v>
      </c>
      <c r="I77" s="67"/>
      <c r="J77" s="50" t="s">
        <v>481</v>
      </c>
      <c r="L77" s="50" t="s">
        <v>29</v>
      </c>
      <c r="M77" s="50" t="s">
        <v>509</v>
      </c>
      <c r="N77" s="50" t="s">
        <v>270</v>
      </c>
      <c r="O77" s="50" t="s">
        <v>505</v>
      </c>
      <c r="R77" s="51">
        <v>44768</v>
      </c>
    </row>
    <row r="78" spans="1:18">
      <c r="A78" s="50" t="s">
        <v>272</v>
      </c>
      <c r="B78" s="50" t="s">
        <v>469</v>
      </c>
      <c r="C78" s="50">
        <v>15200</v>
      </c>
      <c r="D78" s="50" t="s">
        <v>491</v>
      </c>
      <c r="E78" s="67">
        <v>0.73</v>
      </c>
      <c r="F78" s="50" t="s">
        <v>480</v>
      </c>
      <c r="G78" s="50" t="s">
        <v>503</v>
      </c>
      <c r="H78" s="67">
        <v>1966</v>
      </c>
      <c r="I78" s="67"/>
      <c r="J78" s="50" t="s">
        <v>473</v>
      </c>
      <c r="L78" s="50" t="s">
        <v>29</v>
      </c>
      <c r="M78" s="50" t="s">
        <v>10</v>
      </c>
      <c r="N78" s="50" t="s">
        <v>273</v>
      </c>
      <c r="O78" s="50" t="s">
        <v>505</v>
      </c>
      <c r="R78" s="51">
        <v>43557</v>
      </c>
    </row>
    <row r="79" spans="1:18">
      <c r="A79" s="50" t="s">
        <v>274</v>
      </c>
      <c r="B79" s="50" t="s">
        <v>469</v>
      </c>
      <c r="C79" s="50">
        <v>12935</v>
      </c>
      <c r="D79" s="50" t="s">
        <v>493</v>
      </c>
      <c r="E79" s="67">
        <v>0.23</v>
      </c>
      <c r="F79" s="50" t="s">
        <v>483</v>
      </c>
      <c r="G79" s="50" t="s">
        <v>472</v>
      </c>
      <c r="H79" s="67">
        <v>1993</v>
      </c>
      <c r="I79" s="67"/>
      <c r="J79" s="50" t="s">
        <v>484</v>
      </c>
      <c r="K79" s="50" t="s">
        <v>478</v>
      </c>
      <c r="L79" s="50" t="s">
        <v>65</v>
      </c>
      <c r="M79" s="50" t="s">
        <v>32</v>
      </c>
      <c r="N79" s="50" t="s">
        <v>275</v>
      </c>
      <c r="O79" s="50" t="s">
        <v>505</v>
      </c>
      <c r="R79" s="51">
        <v>45092</v>
      </c>
    </row>
    <row r="80" spans="1:18">
      <c r="A80" s="50" t="s">
        <v>278</v>
      </c>
      <c r="B80" s="50" t="s">
        <v>469</v>
      </c>
      <c r="C80" s="50">
        <v>32590</v>
      </c>
      <c r="D80" s="50" t="s">
        <v>486</v>
      </c>
      <c r="E80" s="67">
        <v>0.63</v>
      </c>
      <c r="F80" s="50" t="s">
        <v>475</v>
      </c>
      <c r="G80" s="50" t="s">
        <v>490</v>
      </c>
      <c r="H80" s="67">
        <v>1900</v>
      </c>
      <c r="I80" s="67"/>
      <c r="J80" s="50" t="s">
        <v>489</v>
      </c>
      <c r="K80" s="50" t="s">
        <v>482</v>
      </c>
      <c r="L80" s="50" t="s">
        <v>29</v>
      </c>
      <c r="M80" s="50" t="s">
        <v>10</v>
      </c>
      <c r="N80" s="50" t="s">
        <v>279</v>
      </c>
      <c r="O80" s="50" t="s">
        <v>540</v>
      </c>
      <c r="P80" s="50" t="s">
        <v>16</v>
      </c>
      <c r="Q80" s="50" t="s">
        <v>280</v>
      </c>
      <c r="R80" s="51">
        <v>43557</v>
      </c>
    </row>
    <row r="81" spans="1:18">
      <c r="A81" s="50" t="s">
        <v>282</v>
      </c>
      <c r="B81" s="50" t="s">
        <v>469</v>
      </c>
      <c r="C81" s="50">
        <v>6485</v>
      </c>
      <c r="D81" s="50" t="s">
        <v>501</v>
      </c>
      <c r="E81" s="68">
        <v>0.2</v>
      </c>
      <c r="F81" s="50" t="s">
        <v>483</v>
      </c>
      <c r="G81" s="50" t="s">
        <v>487</v>
      </c>
      <c r="H81" s="67">
        <v>2005</v>
      </c>
      <c r="I81" s="67"/>
      <c r="J81" s="50" t="s">
        <v>477</v>
      </c>
      <c r="K81" s="50" t="s">
        <v>478</v>
      </c>
      <c r="M81" s="50" t="s">
        <v>418</v>
      </c>
      <c r="N81" s="50" t="s">
        <v>283</v>
      </c>
      <c r="O81" s="50" t="s">
        <v>505</v>
      </c>
      <c r="R81" s="51">
        <v>43587</v>
      </c>
    </row>
    <row r="82" spans="1:18">
      <c r="A82" s="50" t="s">
        <v>284</v>
      </c>
      <c r="B82" s="50" t="s">
        <v>469</v>
      </c>
      <c r="C82" s="50">
        <v>10230</v>
      </c>
      <c r="D82" s="50" t="s">
        <v>493</v>
      </c>
      <c r="E82" s="67">
        <v>0.53</v>
      </c>
      <c r="F82" s="50" t="s">
        <v>475</v>
      </c>
      <c r="G82" s="50" t="s">
        <v>508</v>
      </c>
      <c r="H82" s="67">
        <v>1966</v>
      </c>
      <c r="I82" s="67"/>
      <c r="J82" s="50" t="s">
        <v>473</v>
      </c>
      <c r="L82" s="50" t="s">
        <v>286</v>
      </c>
      <c r="M82" s="50" t="s">
        <v>32</v>
      </c>
      <c r="N82" s="50" t="s">
        <v>285</v>
      </c>
      <c r="O82" s="50" t="s">
        <v>505</v>
      </c>
      <c r="R82" s="51"/>
    </row>
    <row r="83" spans="1:18">
      <c r="A83" s="50" t="s">
        <v>287</v>
      </c>
      <c r="B83" s="50" t="s">
        <v>469</v>
      </c>
      <c r="C83" s="50">
        <v>14725</v>
      </c>
      <c r="D83" s="50" t="s">
        <v>493</v>
      </c>
      <c r="E83" s="68">
        <v>0.4</v>
      </c>
      <c r="F83" s="50" t="s">
        <v>475</v>
      </c>
      <c r="G83" s="50" t="s">
        <v>488</v>
      </c>
      <c r="H83" s="67">
        <v>1992</v>
      </c>
      <c r="I83" s="67"/>
      <c r="J83" s="50" t="s">
        <v>484</v>
      </c>
      <c r="L83" s="50" t="s">
        <v>10</v>
      </c>
      <c r="M83" s="50" t="s">
        <v>10</v>
      </c>
      <c r="N83" s="50" t="s">
        <v>288</v>
      </c>
      <c r="O83" s="50" t="s">
        <v>529</v>
      </c>
      <c r="P83" s="50" t="s">
        <v>16</v>
      </c>
      <c r="Q83" s="50" t="s">
        <v>289</v>
      </c>
      <c r="R83" s="51">
        <v>43615</v>
      </c>
    </row>
    <row r="84" spans="1:18">
      <c r="A84" s="50" t="s">
        <v>291</v>
      </c>
      <c r="B84" s="50" t="s">
        <v>469</v>
      </c>
      <c r="C84" s="50">
        <v>28730</v>
      </c>
      <c r="D84" s="50" t="s">
        <v>486</v>
      </c>
      <c r="E84" s="67">
        <v>0.67</v>
      </c>
      <c r="F84" s="50" t="s">
        <v>480</v>
      </c>
      <c r="G84" s="50" t="s">
        <v>503</v>
      </c>
      <c r="H84" s="67">
        <v>1909</v>
      </c>
      <c r="I84" s="67"/>
      <c r="J84" s="50" t="s">
        <v>489</v>
      </c>
      <c r="K84" s="50" t="s">
        <v>482</v>
      </c>
      <c r="L84" s="50" t="s">
        <v>29</v>
      </c>
      <c r="M84" s="50" t="s">
        <v>10</v>
      </c>
      <c r="N84" s="50" t="s">
        <v>292</v>
      </c>
      <c r="O84" s="50" t="s">
        <v>505</v>
      </c>
      <c r="R84" s="51">
        <v>43587</v>
      </c>
    </row>
    <row r="85" spans="1:18">
      <c r="A85" s="50" t="s">
        <v>294</v>
      </c>
      <c r="B85" s="50" t="s">
        <v>469</v>
      </c>
      <c r="C85" s="50">
        <v>20980</v>
      </c>
      <c r="D85" s="50" t="s">
        <v>479</v>
      </c>
      <c r="E85" s="68">
        <v>1</v>
      </c>
      <c r="F85" s="50" t="s">
        <v>480</v>
      </c>
      <c r="G85" s="50" t="s">
        <v>472</v>
      </c>
      <c r="H85" s="67">
        <v>1209</v>
      </c>
      <c r="I85" s="67"/>
      <c r="J85" s="50" t="s">
        <v>481</v>
      </c>
      <c r="K85" s="50" t="s">
        <v>482</v>
      </c>
      <c r="L85" s="50" t="s">
        <v>296</v>
      </c>
      <c r="M85" s="50" t="s">
        <v>32</v>
      </c>
      <c r="N85" s="50" t="s">
        <v>295</v>
      </c>
      <c r="O85" s="50" t="s">
        <v>474</v>
      </c>
      <c r="P85" s="50" t="s">
        <v>32</v>
      </c>
      <c r="Q85" s="50" t="s">
        <v>295</v>
      </c>
      <c r="R85" s="51">
        <v>45597</v>
      </c>
    </row>
    <row r="86" spans="1:18">
      <c r="A86" s="50" t="s">
        <v>299</v>
      </c>
      <c r="B86" s="50" t="s">
        <v>469</v>
      </c>
      <c r="C86" s="50">
        <v>21475</v>
      </c>
      <c r="D86" s="50" t="s">
        <v>479</v>
      </c>
      <c r="E86" s="68">
        <v>0.3</v>
      </c>
      <c r="F86" s="50" t="s">
        <v>483</v>
      </c>
      <c r="G86" s="50" t="s">
        <v>487</v>
      </c>
      <c r="H86" s="67">
        <v>1992</v>
      </c>
      <c r="I86" s="67"/>
      <c r="J86" s="50" t="s">
        <v>484</v>
      </c>
      <c r="K86" s="50" t="s">
        <v>478</v>
      </c>
      <c r="L86" s="50" t="s">
        <v>204</v>
      </c>
      <c r="M86" s="50" t="s">
        <v>16</v>
      </c>
      <c r="N86" s="50" t="s">
        <v>300</v>
      </c>
      <c r="O86" s="50" t="s">
        <v>540</v>
      </c>
      <c r="P86" s="50" t="s">
        <v>16</v>
      </c>
      <c r="Q86" s="50" t="s">
        <v>301</v>
      </c>
      <c r="R86" s="51">
        <v>43587</v>
      </c>
    </row>
    <row r="87" spans="1:18">
      <c r="A87" s="50" t="s">
        <v>302</v>
      </c>
      <c r="B87" s="50" t="s">
        <v>469</v>
      </c>
      <c r="C87" s="50">
        <v>11110</v>
      </c>
      <c r="D87" s="50" t="s">
        <v>493</v>
      </c>
      <c r="E87" s="67">
        <v>0.48</v>
      </c>
      <c r="F87" s="50" t="s">
        <v>475</v>
      </c>
      <c r="G87" s="50" t="s">
        <v>487</v>
      </c>
      <c r="H87" s="67">
        <v>2005</v>
      </c>
      <c r="I87" s="67"/>
      <c r="J87" s="50" t="s">
        <v>477</v>
      </c>
      <c r="L87" s="50" t="s">
        <v>304</v>
      </c>
      <c r="M87" s="50" t="s">
        <v>32</v>
      </c>
      <c r="N87" s="50" t="s">
        <v>303</v>
      </c>
      <c r="O87" s="50" t="s">
        <v>505</v>
      </c>
      <c r="R87" s="51">
        <v>44819</v>
      </c>
    </row>
    <row r="88" spans="1:18">
      <c r="A88" s="50" t="s">
        <v>306</v>
      </c>
      <c r="B88" s="50" t="s">
        <v>469</v>
      </c>
      <c r="C88" s="50">
        <v>4820</v>
      </c>
      <c r="D88" s="50" t="s">
        <v>470</v>
      </c>
      <c r="E88" s="67">
        <v>0.36</v>
      </c>
      <c r="F88" s="50" t="s">
        <v>475</v>
      </c>
      <c r="G88" s="50" t="s">
        <v>488</v>
      </c>
      <c r="H88" s="67">
        <v>2005</v>
      </c>
      <c r="I88" s="67"/>
      <c r="J88" s="50" t="s">
        <v>477</v>
      </c>
      <c r="L88" s="50" t="s">
        <v>308</v>
      </c>
      <c r="M88" s="50" t="s">
        <v>16</v>
      </c>
      <c r="N88" s="50" t="s">
        <v>307</v>
      </c>
      <c r="O88" s="50" t="s">
        <v>505</v>
      </c>
      <c r="R88" s="51">
        <v>43613</v>
      </c>
    </row>
    <row r="89" spans="1:18">
      <c r="A89" s="50" t="s">
        <v>309</v>
      </c>
      <c r="B89" s="50" t="s">
        <v>469</v>
      </c>
      <c r="C89" s="50">
        <v>6410</v>
      </c>
      <c r="D89" s="50" t="s">
        <v>501</v>
      </c>
      <c r="E89" s="67">
        <v>0.25</v>
      </c>
      <c r="F89" s="50" t="s">
        <v>483</v>
      </c>
      <c r="G89" s="50" t="s">
        <v>487</v>
      </c>
      <c r="H89" s="67">
        <v>2007</v>
      </c>
      <c r="I89" s="67"/>
      <c r="J89" s="50" t="s">
        <v>477</v>
      </c>
      <c r="K89" s="50" t="s">
        <v>478</v>
      </c>
      <c r="L89" s="50" t="s">
        <v>204</v>
      </c>
      <c r="M89" s="50" t="s">
        <v>16</v>
      </c>
      <c r="N89" s="50" t="s">
        <v>310</v>
      </c>
      <c r="O89" s="50" t="s">
        <v>505</v>
      </c>
      <c r="R89" s="51">
        <v>43613</v>
      </c>
    </row>
    <row r="90" spans="1:18">
      <c r="A90" s="50" t="s">
        <v>311</v>
      </c>
      <c r="B90" s="50" t="s">
        <v>469</v>
      </c>
      <c r="C90" s="50">
        <v>15145</v>
      </c>
      <c r="D90" s="50" t="s">
        <v>491</v>
      </c>
      <c r="E90" s="67">
        <v>0.41</v>
      </c>
      <c r="F90" s="50" t="s">
        <v>475</v>
      </c>
      <c r="G90" s="50" t="s">
        <v>476</v>
      </c>
      <c r="H90" s="67">
        <v>1967</v>
      </c>
      <c r="I90" s="67"/>
      <c r="J90" s="50" t="s">
        <v>473</v>
      </c>
      <c r="L90" s="50" t="s">
        <v>29</v>
      </c>
      <c r="M90" s="50" t="s">
        <v>10</v>
      </c>
      <c r="N90" s="50" t="s">
        <v>312</v>
      </c>
      <c r="O90" s="50" t="s">
        <v>505</v>
      </c>
      <c r="R90" s="51"/>
    </row>
    <row r="91" spans="1:18">
      <c r="A91" s="50" t="s">
        <v>313</v>
      </c>
      <c r="B91" s="50" t="s">
        <v>469</v>
      </c>
      <c r="C91" s="50">
        <v>16330</v>
      </c>
      <c r="D91" s="50" t="s">
        <v>491</v>
      </c>
      <c r="E91" s="67">
        <v>0.56000000000000005</v>
      </c>
      <c r="F91" s="50" t="s">
        <v>475</v>
      </c>
      <c r="G91" s="50" t="s">
        <v>472</v>
      </c>
      <c r="H91" s="67">
        <v>1964</v>
      </c>
      <c r="I91" s="67"/>
      <c r="J91" s="50" t="s">
        <v>473</v>
      </c>
      <c r="L91" s="50" t="s">
        <v>10</v>
      </c>
      <c r="M91" s="50" t="s">
        <v>16</v>
      </c>
      <c r="N91" s="50" t="s">
        <v>314</v>
      </c>
      <c r="O91" s="50" t="s">
        <v>505</v>
      </c>
      <c r="R91" s="51">
        <v>43509</v>
      </c>
    </row>
    <row r="92" spans="1:18">
      <c r="A92" s="50" t="s">
        <v>316</v>
      </c>
      <c r="B92" s="50" t="s">
        <v>469</v>
      </c>
      <c r="C92" s="50">
        <v>14315</v>
      </c>
      <c r="D92" s="50" t="s">
        <v>493</v>
      </c>
      <c r="E92" s="67">
        <v>0.35</v>
      </c>
      <c r="F92" s="50" t="s">
        <v>475</v>
      </c>
      <c r="G92" s="50" t="s">
        <v>498</v>
      </c>
      <c r="H92" s="67">
        <v>1992</v>
      </c>
      <c r="I92" s="67"/>
      <c r="J92" s="50" t="s">
        <v>484</v>
      </c>
      <c r="K92" s="50" t="s">
        <v>478</v>
      </c>
      <c r="M92" s="50" t="s">
        <v>499</v>
      </c>
      <c r="N92" s="50" t="s">
        <v>317</v>
      </c>
      <c r="O92" s="50" t="s">
        <v>474</v>
      </c>
      <c r="P92" s="50" t="s">
        <v>117</v>
      </c>
      <c r="Q92" s="50" t="s">
        <v>317</v>
      </c>
      <c r="R92" s="51">
        <v>43677</v>
      </c>
    </row>
    <row r="93" spans="1:18">
      <c r="A93" s="50" t="s">
        <v>320</v>
      </c>
      <c r="B93" s="50" t="s">
        <v>469</v>
      </c>
      <c r="C93" s="50">
        <v>37035</v>
      </c>
      <c r="D93" s="50" t="s">
        <v>486</v>
      </c>
      <c r="E93" s="67">
        <v>0.76</v>
      </c>
      <c r="F93" s="50" t="s">
        <v>480</v>
      </c>
      <c r="G93" s="50" t="s">
        <v>476</v>
      </c>
      <c r="H93" s="67">
        <v>1583</v>
      </c>
      <c r="I93" s="67"/>
      <c r="J93" s="50" t="s">
        <v>481</v>
      </c>
      <c r="K93" s="50" t="s">
        <v>482</v>
      </c>
      <c r="L93" s="50" t="s">
        <v>29</v>
      </c>
      <c r="M93" s="50" t="s">
        <v>509</v>
      </c>
      <c r="N93" s="50" t="s">
        <v>321</v>
      </c>
      <c r="O93" s="50" t="s">
        <v>540</v>
      </c>
      <c r="P93" s="50" t="s">
        <v>32</v>
      </c>
      <c r="Q93" s="50" t="s">
        <v>322</v>
      </c>
      <c r="R93" s="51">
        <v>45413</v>
      </c>
    </row>
    <row r="94" spans="1:18">
      <c r="A94" s="50" t="s">
        <v>325</v>
      </c>
      <c r="B94" s="50" t="s">
        <v>469</v>
      </c>
      <c r="C94" s="50">
        <v>14915</v>
      </c>
      <c r="D94" s="50" t="s">
        <v>493</v>
      </c>
      <c r="E94" s="67">
        <v>0.65</v>
      </c>
      <c r="F94" s="50" t="s">
        <v>475</v>
      </c>
      <c r="G94" s="50" t="s">
        <v>472</v>
      </c>
      <c r="H94" s="67">
        <v>1965</v>
      </c>
      <c r="I94" s="67"/>
      <c r="J94" s="50" t="s">
        <v>473</v>
      </c>
      <c r="L94" s="50" t="s">
        <v>29</v>
      </c>
      <c r="M94" s="50" t="s">
        <v>16</v>
      </c>
      <c r="N94" s="50" t="s">
        <v>326</v>
      </c>
      <c r="O94" s="50" t="s">
        <v>505</v>
      </c>
      <c r="R94" s="51"/>
    </row>
    <row r="95" spans="1:18">
      <c r="A95" s="50" t="s">
        <v>327</v>
      </c>
      <c r="B95" s="50" t="s">
        <v>469</v>
      </c>
      <c r="C95" s="50">
        <v>29310</v>
      </c>
      <c r="D95" s="50" t="s">
        <v>486</v>
      </c>
      <c r="E95" s="67">
        <v>0.69</v>
      </c>
      <c r="F95" s="50" t="s">
        <v>480</v>
      </c>
      <c r="G95" s="50" t="s">
        <v>503</v>
      </c>
      <c r="H95" s="67">
        <v>1955</v>
      </c>
      <c r="I95" s="67"/>
      <c r="J95" s="50" t="s">
        <v>489</v>
      </c>
      <c r="K95" s="50" t="s">
        <v>482</v>
      </c>
      <c r="L95" s="50" t="s">
        <v>20</v>
      </c>
      <c r="M95" s="50" t="s">
        <v>32</v>
      </c>
      <c r="N95" s="50" t="s">
        <v>328</v>
      </c>
      <c r="O95" s="50" t="s">
        <v>505</v>
      </c>
      <c r="R95" s="51">
        <v>45406</v>
      </c>
    </row>
    <row r="96" spans="1:18">
      <c r="A96" s="50" t="s">
        <v>330</v>
      </c>
      <c r="B96" s="50" t="s">
        <v>469</v>
      </c>
      <c r="C96" s="50">
        <v>36240</v>
      </c>
      <c r="D96" s="50" t="s">
        <v>486</v>
      </c>
      <c r="E96" s="67">
        <v>0.56999999999999995</v>
      </c>
      <c r="F96" s="50" t="s">
        <v>475</v>
      </c>
      <c r="G96" s="50" t="s">
        <v>476</v>
      </c>
      <c r="H96" s="67">
        <v>1451</v>
      </c>
      <c r="I96" s="67"/>
      <c r="J96" s="50" t="s">
        <v>481</v>
      </c>
      <c r="K96" s="50" t="s">
        <v>482</v>
      </c>
      <c r="L96" s="50" t="s">
        <v>332</v>
      </c>
      <c r="M96" s="50" t="s">
        <v>16</v>
      </c>
      <c r="N96" s="50" t="s">
        <v>331</v>
      </c>
      <c r="O96" s="50" t="s">
        <v>540</v>
      </c>
      <c r="P96" s="50" t="s">
        <v>16</v>
      </c>
      <c r="Q96" s="50" t="s">
        <v>333</v>
      </c>
      <c r="R96" s="51">
        <v>45235</v>
      </c>
    </row>
    <row r="97" spans="1:18">
      <c r="A97" s="50" t="s">
        <v>334</v>
      </c>
      <c r="B97" s="50" t="s">
        <v>469</v>
      </c>
      <c r="C97" s="50">
        <v>19330</v>
      </c>
      <c r="D97" s="50" t="s">
        <v>491</v>
      </c>
      <c r="E97" s="67">
        <v>0.51</v>
      </c>
      <c r="F97" s="50" t="s">
        <v>475</v>
      </c>
      <c r="G97" s="50" t="s">
        <v>498</v>
      </c>
      <c r="H97" s="67">
        <v>1992</v>
      </c>
      <c r="I97" s="67"/>
      <c r="J97" s="50" t="s">
        <v>484</v>
      </c>
      <c r="M97" s="50" t="s">
        <v>16</v>
      </c>
      <c r="N97" s="50" t="s">
        <v>335</v>
      </c>
      <c r="O97" s="50" t="s">
        <v>505</v>
      </c>
      <c r="R97" s="51">
        <v>44340</v>
      </c>
    </row>
    <row r="98" spans="1:18">
      <c r="A98" s="50" t="s">
        <v>338</v>
      </c>
      <c r="B98" s="50" t="s">
        <v>469</v>
      </c>
      <c r="C98" s="50">
        <v>23060</v>
      </c>
      <c r="D98" s="50" t="s">
        <v>479</v>
      </c>
      <c r="E98" s="67">
        <v>0.32</v>
      </c>
      <c r="F98" s="50" t="s">
        <v>483</v>
      </c>
      <c r="G98" s="50" t="s">
        <v>472</v>
      </c>
      <c r="H98" s="67">
        <v>1992</v>
      </c>
      <c r="I98" s="67"/>
      <c r="J98" s="50" t="s">
        <v>484</v>
      </c>
      <c r="L98" s="50" t="s">
        <v>29</v>
      </c>
      <c r="M98" s="50" t="s">
        <v>32</v>
      </c>
      <c r="N98" s="50" t="s">
        <v>339</v>
      </c>
      <c r="O98" s="50" t="s">
        <v>474</v>
      </c>
      <c r="P98" s="50" t="s">
        <v>32</v>
      </c>
      <c r="Q98" s="50" t="s">
        <v>339</v>
      </c>
      <c r="R98" s="51">
        <v>44461</v>
      </c>
    </row>
    <row r="99" spans="1:18">
      <c r="A99" s="50" t="s">
        <v>341</v>
      </c>
      <c r="B99" s="50" t="s">
        <v>469</v>
      </c>
      <c r="C99" s="50">
        <v>13685</v>
      </c>
      <c r="D99" s="50" t="s">
        <v>493</v>
      </c>
      <c r="E99" s="67">
        <v>0.47</v>
      </c>
      <c r="F99" s="50" t="s">
        <v>475</v>
      </c>
      <c r="G99" s="50" t="s">
        <v>508</v>
      </c>
      <c r="H99" s="67">
        <v>1992</v>
      </c>
      <c r="I99" s="67"/>
      <c r="J99" s="50" t="s">
        <v>484</v>
      </c>
      <c r="L99" s="50" t="s">
        <v>343</v>
      </c>
      <c r="M99" s="50" t="s">
        <v>16</v>
      </c>
      <c r="N99" s="50" t="s">
        <v>342</v>
      </c>
      <c r="O99" s="50" t="s">
        <v>505</v>
      </c>
      <c r="R99" s="51">
        <v>43618</v>
      </c>
    </row>
    <row r="100" spans="1:18">
      <c r="A100" s="50" t="s">
        <v>538</v>
      </c>
      <c r="B100" s="50" t="s">
        <v>469</v>
      </c>
      <c r="C100" s="50">
        <v>12625</v>
      </c>
      <c r="D100" s="50" t="s">
        <v>493</v>
      </c>
      <c r="E100" s="67">
        <v>0.37</v>
      </c>
      <c r="F100" s="50" t="s">
        <v>475</v>
      </c>
      <c r="G100" s="50" t="s">
        <v>508</v>
      </c>
      <c r="H100" s="67">
        <v>1954</v>
      </c>
      <c r="I100" s="67"/>
      <c r="J100" s="50" t="s">
        <v>489</v>
      </c>
      <c r="L100" s="50" t="s">
        <v>81</v>
      </c>
      <c r="M100" s="50" t="s">
        <v>81</v>
      </c>
      <c r="N100" s="50" t="s">
        <v>108</v>
      </c>
      <c r="O100" s="50" t="s">
        <v>529</v>
      </c>
      <c r="P100" s="50" t="s">
        <v>109</v>
      </c>
      <c r="Q100" s="50" t="s">
        <v>110</v>
      </c>
      <c r="R100" s="51">
        <v>43504</v>
      </c>
    </row>
    <row r="101" spans="1:18">
      <c r="A101" s="50" t="s">
        <v>345</v>
      </c>
      <c r="B101" s="50" t="s">
        <v>469</v>
      </c>
      <c r="C101" s="50">
        <v>15875</v>
      </c>
      <c r="D101" s="50" t="s">
        <v>491</v>
      </c>
      <c r="E101" s="67">
        <v>0.67</v>
      </c>
      <c r="F101" s="50" t="s">
        <v>480</v>
      </c>
      <c r="G101" s="50" t="s">
        <v>488</v>
      </c>
      <c r="H101" s="67">
        <v>1965</v>
      </c>
      <c r="I101" s="67"/>
      <c r="J101" s="50" t="s">
        <v>473</v>
      </c>
      <c r="L101" s="50" t="s">
        <v>347</v>
      </c>
      <c r="M101" s="50" t="s">
        <v>16</v>
      </c>
      <c r="N101" s="50" t="s">
        <v>346</v>
      </c>
      <c r="O101" s="50" t="s">
        <v>540</v>
      </c>
      <c r="P101" s="50" t="s">
        <v>16</v>
      </c>
      <c r="Q101" s="50" t="s">
        <v>348</v>
      </c>
      <c r="R101" s="51">
        <v>44297</v>
      </c>
    </row>
    <row r="102" spans="1:18">
      <c r="A102" s="50" t="s">
        <v>349</v>
      </c>
      <c r="B102" s="50" t="s">
        <v>469</v>
      </c>
      <c r="C102" s="50">
        <v>35710</v>
      </c>
      <c r="D102" s="50" t="s">
        <v>486</v>
      </c>
      <c r="E102" s="67">
        <v>0.65</v>
      </c>
      <c r="F102" s="50" t="s">
        <v>475</v>
      </c>
      <c r="G102" s="50" t="s">
        <v>508</v>
      </c>
      <c r="H102" s="67">
        <v>1904</v>
      </c>
      <c r="I102" s="67"/>
      <c r="J102" s="50" t="s">
        <v>489</v>
      </c>
      <c r="K102" s="50" t="s">
        <v>482</v>
      </c>
      <c r="L102" s="50" t="s">
        <v>20</v>
      </c>
      <c r="M102" s="50" t="s">
        <v>16</v>
      </c>
      <c r="N102" s="50" t="s">
        <v>350</v>
      </c>
      <c r="O102" s="50" t="s">
        <v>540</v>
      </c>
      <c r="P102" s="50" t="s">
        <v>16</v>
      </c>
      <c r="Q102" s="50" t="s">
        <v>351</v>
      </c>
      <c r="R102" s="51">
        <v>44769</v>
      </c>
    </row>
    <row r="103" spans="1:18">
      <c r="A103" s="50" t="s">
        <v>355</v>
      </c>
      <c r="B103" s="50" t="s">
        <v>469</v>
      </c>
      <c r="C103" s="50">
        <v>14825</v>
      </c>
      <c r="D103" s="50" t="s">
        <v>493</v>
      </c>
      <c r="E103" s="67">
        <v>0.63</v>
      </c>
      <c r="F103" s="50" t="s">
        <v>475</v>
      </c>
      <c r="G103" s="50" t="s">
        <v>496</v>
      </c>
      <c r="H103" s="67">
        <v>1958</v>
      </c>
      <c r="I103" s="67"/>
      <c r="J103" s="50" t="s">
        <v>489</v>
      </c>
      <c r="L103" s="50" t="s">
        <v>20</v>
      </c>
      <c r="M103" s="50" t="s">
        <v>21</v>
      </c>
      <c r="N103" s="50" t="s">
        <v>497</v>
      </c>
      <c r="O103" s="50" t="s">
        <v>474</v>
      </c>
      <c r="P103" s="50" t="s">
        <v>21</v>
      </c>
      <c r="Q103" s="50" t="s">
        <v>497</v>
      </c>
      <c r="R103" s="51">
        <v>44847</v>
      </c>
    </row>
    <row r="104" spans="1:18">
      <c r="A104" s="50" t="s">
        <v>360</v>
      </c>
      <c r="B104" s="50" t="s">
        <v>469</v>
      </c>
      <c r="C104" s="50">
        <v>14840</v>
      </c>
      <c r="D104" s="50" t="s">
        <v>493</v>
      </c>
      <c r="E104" s="67">
        <v>0.39</v>
      </c>
      <c r="F104" s="50" t="s">
        <v>475</v>
      </c>
      <c r="G104" s="50" t="s">
        <v>496</v>
      </c>
      <c r="H104" s="67">
        <v>1993</v>
      </c>
      <c r="I104" s="67"/>
      <c r="J104" s="50" t="s">
        <v>484</v>
      </c>
      <c r="M104" s="50" t="s">
        <v>16</v>
      </c>
      <c r="N104" s="50" t="s">
        <v>361</v>
      </c>
      <c r="O104" s="50" t="s">
        <v>505</v>
      </c>
      <c r="R104" s="51">
        <v>44640</v>
      </c>
    </row>
    <row r="105" spans="1:18">
      <c r="A105" s="50" t="s">
        <v>363</v>
      </c>
      <c r="B105" s="50" t="s">
        <v>469</v>
      </c>
      <c r="C105" s="50">
        <v>25735</v>
      </c>
      <c r="D105" s="50" t="s">
        <v>486</v>
      </c>
      <c r="E105" s="67">
        <v>0.61</v>
      </c>
      <c r="F105" s="50" t="s">
        <v>475</v>
      </c>
      <c r="G105" s="50" t="s">
        <v>487</v>
      </c>
      <c r="H105" s="67">
        <v>1903</v>
      </c>
      <c r="I105" s="67"/>
      <c r="J105" s="50" t="s">
        <v>489</v>
      </c>
      <c r="K105" s="50" t="s">
        <v>482</v>
      </c>
      <c r="L105" s="50" t="s">
        <v>20</v>
      </c>
      <c r="M105" s="50" t="s">
        <v>16</v>
      </c>
      <c r="N105" s="50" t="s">
        <v>364</v>
      </c>
      <c r="O105" s="50" t="s">
        <v>540</v>
      </c>
      <c r="P105" s="50" t="s">
        <v>16</v>
      </c>
      <c r="Q105" s="50" t="s">
        <v>365</v>
      </c>
      <c r="R105" s="51">
        <v>45518</v>
      </c>
    </row>
    <row r="106" spans="1:18">
      <c r="A106" s="50" t="s">
        <v>369</v>
      </c>
      <c r="B106" s="50" t="s">
        <v>469</v>
      </c>
      <c r="C106" s="50">
        <v>42160</v>
      </c>
      <c r="D106" s="50" t="s">
        <v>486</v>
      </c>
      <c r="E106" s="67">
        <v>0.66</v>
      </c>
      <c r="F106" s="50" t="s">
        <v>475</v>
      </c>
      <c r="G106" s="50" t="s">
        <v>487</v>
      </c>
      <c r="H106" s="67">
        <v>2004</v>
      </c>
      <c r="I106" s="67"/>
      <c r="J106" s="50" t="s">
        <v>477</v>
      </c>
      <c r="K106" s="50" t="s">
        <v>482</v>
      </c>
      <c r="L106" s="50" t="s">
        <v>29</v>
      </c>
      <c r="M106" s="50" t="s">
        <v>10</v>
      </c>
      <c r="N106" s="50" t="s">
        <v>370</v>
      </c>
      <c r="O106" s="50" t="s">
        <v>505</v>
      </c>
      <c r="R106" s="51">
        <v>43587</v>
      </c>
    </row>
    <row r="107" spans="1:18">
      <c r="A107" s="50" t="s">
        <v>372</v>
      </c>
      <c r="B107" s="50" t="s">
        <v>469</v>
      </c>
      <c r="C107" s="50">
        <v>10520</v>
      </c>
      <c r="D107" s="50" t="s">
        <v>493</v>
      </c>
      <c r="E107" s="67">
        <v>0.24</v>
      </c>
      <c r="F107" s="50" t="s">
        <v>483</v>
      </c>
      <c r="G107" s="50" t="s">
        <v>496</v>
      </c>
      <c r="H107" s="67">
        <v>2005</v>
      </c>
      <c r="I107" s="67"/>
      <c r="J107" s="50" t="s">
        <v>477</v>
      </c>
      <c r="L107" s="50" t="s">
        <v>29</v>
      </c>
      <c r="M107" s="50" t="s">
        <v>16</v>
      </c>
      <c r="N107" s="50" t="s">
        <v>373</v>
      </c>
      <c r="O107" s="50" t="s">
        <v>505</v>
      </c>
      <c r="R107" s="51">
        <v>43618</v>
      </c>
    </row>
    <row r="108" spans="1:18">
      <c r="A108" s="50" t="s">
        <v>375</v>
      </c>
      <c r="B108" s="50" t="s">
        <v>469</v>
      </c>
      <c r="C108" s="50">
        <v>35030</v>
      </c>
      <c r="D108" s="50" t="s">
        <v>486</v>
      </c>
      <c r="E108" s="67">
        <v>0.68</v>
      </c>
      <c r="F108" s="50" t="s">
        <v>480</v>
      </c>
      <c r="G108" s="50" t="s">
        <v>496</v>
      </c>
      <c r="H108" s="67">
        <v>1948</v>
      </c>
      <c r="I108" s="67"/>
      <c r="J108" s="50" t="s">
        <v>489</v>
      </c>
      <c r="K108" s="50" t="s">
        <v>482</v>
      </c>
      <c r="L108" s="50" t="s">
        <v>81</v>
      </c>
      <c r="M108" s="50" t="s">
        <v>81</v>
      </c>
      <c r="N108" s="50" t="s">
        <v>376</v>
      </c>
      <c r="O108" s="50" t="s">
        <v>529</v>
      </c>
      <c r="P108" s="50" t="s">
        <v>32</v>
      </c>
      <c r="Q108" s="50" t="s">
        <v>377</v>
      </c>
      <c r="R108" s="51">
        <v>43648</v>
      </c>
    </row>
    <row r="109" spans="1:18">
      <c r="A109" s="50" t="s">
        <v>379</v>
      </c>
      <c r="B109" s="50" t="s">
        <v>469</v>
      </c>
      <c r="C109" s="50">
        <v>22095</v>
      </c>
      <c r="D109" s="50" t="s">
        <v>479</v>
      </c>
      <c r="E109" s="67">
        <v>0.95</v>
      </c>
      <c r="F109" s="50" t="s">
        <v>480</v>
      </c>
      <c r="G109" s="50" t="s">
        <v>488</v>
      </c>
      <c r="H109" s="67">
        <v>1214</v>
      </c>
      <c r="I109" s="67"/>
      <c r="J109" s="50" t="s">
        <v>481</v>
      </c>
      <c r="K109" s="50" t="s">
        <v>482</v>
      </c>
      <c r="L109" s="50" t="s">
        <v>381</v>
      </c>
      <c r="M109" s="50" t="s">
        <v>109</v>
      </c>
      <c r="N109" s="50" t="s">
        <v>380</v>
      </c>
      <c r="O109" s="50" t="s">
        <v>474</v>
      </c>
      <c r="P109" s="50" t="s">
        <v>109</v>
      </c>
      <c r="Q109" s="50" t="s">
        <v>383</v>
      </c>
      <c r="R109" s="51">
        <v>45307</v>
      </c>
    </row>
    <row r="110" spans="1:18">
      <c r="A110" s="50" t="s">
        <v>387</v>
      </c>
      <c r="B110" s="50" t="s">
        <v>469</v>
      </c>
      <c r="C110" s="50">
        <v>15540</v>
      </c>
      <c r="D110" s="50" t="s">
        <v>491</v>
      </c>
      <c r="E110" s="67">
        <v>0.45</v>
      </c>
      <c r="F110" s="50" t="s">
        <v>475</v>
      </c>
      <c r="G110" s="50" t="s">
        <v>503</v>
      </c>
      <c r="H110" s="67">
        <v>1992</v>
      </c>
      <c r="I110" s="67"/>
      <c r="J110" s="50" t="s">
        <v>484</v>
      </c>
      <c r="L110" s="50" t="s">
        <v>20</v>
      </c>
      <c r="M110" s="50" t="s">
        <v>504</v>
      </c>
      <c r="N110" s="50" t="s">
        <v>388</v>
      </c>
      <c r="O110" s="50" t="s">
        <v>505</v>
      </c>
      <c r="R110" s="51">
        <v>44768</v>
      </c>
    </row>
    <row r="111" spans="1:18">
      <c r="A111" s="50" t="s">
        <v>389</v>
      </c>
      <c r="B111" s="50" t="s">
        <v>469</v>
      </c>
      <c r="C111" s="50">
        <v>22700</v>
      </c>
      <c r="D111" s="50" t="s">
        <v>479</v>
      </c>
      <c r="E111" s="67">
        <v>0.41</v>
      </c>
      <c r="F111" s="50" t="s">
        <v>475</v>
      </c>
      <c r="G111" s="50" t="s">
        <v>488</v>
      </c>
      <c r="H111" s="67">
        <v>1992</v>
      </c>
      <c r="I111" s="67"/>
      <c r="J111" s="50" t="s">
        <v>484</v>
      </c>
      <c r="L111" s="50" t="s">
        <v>10</v>
      </c>
      <c r="M111" s="50" t="s">
        <v>10</v>
      </c>
      <c r="N111" s="50" t="s">
        <v>390</v>
      </c>
      <c r="O111" s="50" t="s">
        <v>474</v>
      </c>
      <c r="P111" s="50" t="s">
        <v>10</v>
      </c>
      <c r="Q111" s="50" t="s">
        <v>391</v>
      </c>
      <c r="R111" s="51">
        <v>43613</v>
      </c>
    </row>
    <row r="112" spans="1:18">
      <c r="A112" s="50" t="s">
        <v>393</v>
      </c>
      <c r="B112" s="50" t="s">
        <v>469</v>
      </c>
      <c r="C112" s="50">
        <v>15500</v>
      </c>
      <c r="D112" s="50" t="s">
        <v>491</v>
      </c>
      <c r="E112" s="67">
        <v>0.63</v>
      </c>
      <c r="F112" s="50" t="s">
        <v>475</v>
      </c>
      <c r="G112" s="50" t="s">
        <v>488</v>
      </c>
      <c r="H112" s="67">
        <v>1926</v>
      </c>
      <c r="I112" s="67"/>
      <c r="J112" s="50" t="s">
        <v>489</v>
      </c>
      <c r="L112" s="50" t="s">
        <v>204</v>
      </c>
      <c r="M112" s="50" t="s">
        <v>16</v>
      </c>
      <c r="N112" s="50" t="s">
        <v>394</v>
      </c>
      <c r="O112" s="50" t="s">
        <v>540</v>
      </c>
      <c r="P112" s="50" t="s">
        <v>16</v>
      </c>
      <c r="Q112" s="50" t="s">
        <v>395</v>
      </c>
      <c r="R112" s="51">
        <v>44713</v>
      </c>
    </row>
    <row r="113" spans="1:18">
      <c r="A113" s="50" t="s">
        <v>396</v>
      </c>
      <c r="B113" s="50" t="s">
        <v>469</v>
      </c>
      <c r="C113" s="50">
        <v>8700</v>
      </c>
      <c r="D113" s="50" t="s">
        <v>501</v>
      </c>
      <c r="E113" s="67">
        <v>0.44</v>
      </c>
      <c r="F113" s="50" t="s">
        <v>475</v>
      </c>
      <c r="G113" s="50" t="s">
        <v>498</v>
      </c>
      <c r="H113" s="67">
        <v>2004</v>
      </c>
      <c r="I113" s="67"/>
      <c r="J113" s="50" t="s">
        <v>477</v>
      </c>
      <c r="M113" s="50" t="s">
        <v>10</v>
      </c>
      <c r="N113" s="50" t="s">
        <v>397</v>
      </c>
      <c r="O113" s="50" t="s">
        <v>505</v>
      </c>
      <c r="R113" s="51"/>
    </row>
    <row r="114" spans="1:18">
      <c r="A114" s="50" t="s">
        <v>398</v>
      </c>
      <c r="B114" s="50" t="s">
        <v>469</v>
      </c>
      <c r="C114" s="50">
        <v>20825</v>
      </c>
      <c r="D114" s="50" t="s">
        <v>479</v>
      </c>
      <c r="E114" s="67">
        <v>0.27</v>
      </c>
      <c r="F114" s="50" t="s">
        <v>483</v>
      </c>
      <c r="G114" s="50" t="s">
        <v>487</v>
      </c>
      <c r="H114" s="67">
        <v>1967</v>
      </c>
      <c r="I114" s="67"/>
      <c r="J114" s="50" t="s">
        <v>473</v>
      </c>
      <c r="L114" s="50" t="s">
        <v>81</v>
      </c>
      <c r="M114" s="50" t="s">
        <v>81</v>
      </c>
      <c r="N114" s="50" t="s">
        <v>399</v>
      </c>
      <c r="O114" s="50" t="s">
        <v>529</v>
      </c>
      <c r="P114" s="50" t="s">
        <v>21</v>
      </c>
      <c r="Q114" s="50" t="s">
        <v>400</v>
      </c>
      <c r="R114" s="51">
        <v>43614</v>
      </c>
    </row>
    <row r="115" spans="1:18">
      <c r="A115" s="50" t="s">
        <v>401</v>
      </c>
      <c r="B115" s="50" t="s">
        <v>469</v>
      </c>
      <c r="C115" s="50">
        <v>28100</v>
      </c>
      <c r="D115" s="50" t="s">
        <v>486</v>
      </c>
      <c r="E115" s="67">
        <v>0.66</v>
      </c>
      <c r="F115" s="50" t="s">
        <v>475</v>
      </c>
      <c r="G115" s="50" t="s">
        <v>508</v>
      </c>
      <c r="H115" s="67">
        <v>1905</v>
      </c>
      <c r="I115" s="67"/>
      <c r="J115" s="50" t="s">
        <v>489</v>
      </c>
      <c r="K115" s="50" t="s">
        <v>482</v>
      </c>
      <c r="L115" s="50" t="s">
        <v>20</v>
      </c>
      <c r="M115" s="50" t="s">
        <v>16</v>
      </c>
      <c r="N115" s="50" t="s">
        <v>350</v>
      </c>
      <c r="O115" s="50" t="s">
        <v>529</v>
      </c>
      <c r="P115" s="50" t="s">
        <v>21</v>
      </c>
      <c r="Q115" s="50" t="s">
        <v>402</v>
      </c>
      <c r="R115" s="51">
        <v>43557</v>
      </c>
    </row>
    <row r="116" spans="1:18">
      <c r="A116" s="50" t="s">
        <v>404</v>
      </c>
      <c r="B116" s="50" t="s">
        <v>469</v>
      </c>
      <c r="C116" s="50">
        <v>23135</v>
      </c>
      <c r="D116" s="50" t="s">
        <v>479</v>
      </c>
      <c r="E116" s="67">
        <v>0.71</v>
      </c>
      <c r="F116" s="50" t="s">
        <v>480</v>
      </c>
      <c r="G116" s="50" t="s">
        <v>488</v>
      </c>
      <c r="H116" s="67">
        <v>1952</v>
      </c>
      <c r="I116" s="67"/>
      <c r="J116" s="50" t="s">
        <v>489</v>
      </c>
      <c r="K116" s="50" t="s">
        <v>482</v>
      </c>
      <c r="L116" s="50" t="s">
        <v>29</v>
      </c>
      <c r="M116" s="50" t="s">
        <v>16</v>
      </c>
      <c r="N116" s="50" t="s">
        <v>405</v>
      </c>
      <c r="O116" s="50" t="s">
        <v>474</v>
      </c>
      <c r="P116" s="50" t="s">
        <v>16</v>
      </c>
      <c r="Q116" s="50" t="s">
        <v>405</v>
      </c>
      <c r="R116" s="51">
        <v>44762</v>
      </c>
    </row>
    <row r="117" spans="1:18">
      <c r="A117" s="50" t="s">
        <v>408</v>
      </c>
      <c r="B117" s="50" t="s">
        <v>469</v>
      </c>
      <c r="C117" s="50">
        <v>10750</v>
      </c>
      <c r="D117" s="50" t="s">
        <v>493</v>
      </c>
      <c r="E117" s="67">
        <v>0.71</v>
      </c>
      <c r="F117" s="50" t="s">
        <v>480</v>
      </c>
      <c r="G117" s="50" t="s">
        <v>476</v>
      </c>
      <c r="H117" s="67">
        <v>1413</v>
      </c>
      <c r="I117" s="67"/>
      <c r="J117" s="50" t="s">
        <v>481</v>
      </c>
      <c r="L117" s="50" t="s">
        <v>10</v>
      </c>
      <c r="M117" s="50" t="s">
        <v>32</v>
      </c>
      <c r="N117" s="50" t="s">
        <v>409</v>
      </c>
      <c r="O117" s="50" t="s">
        <v>529</v>
      </c>
      <c r="P117" s="50" t="s">
        <v>10</v>
      </c>
      <c r="Q117" s="50" t="s">
        <v>410</v>
      </c>
      <c r="R117" s="51">
        <v>44768</v>
      </c>
    </row>
    <row r="118" spans="1:18">
      <c r="A118" s="50" t="s">
        <v>521</v>
      </c>
      <c r="B118" s="50" t="s">
        <v>469</v>
      </c>
      <c r="C118" s="50">
        <v>11700</v>
      </c>
      <c r="D118" s="50" t="s">
        <v>493</v>
      </c>
      <c r="E118" s="67">
        <v>0.17</v>
      </c>
      <c r="F118" s="50" t="s">
        <v>483</v>
      </c>
      <c r="G118" s="50" t="s">
        <v>490</v>
      </c>
      <c r="H118" s="67">
        <v>1992</v>
      </c>
      <c r="I118" s="67"/>
      <c r="J118" s="50" t="s">
        <v>484</v>
      </c>
      <c r="K118" s="50" t="s">
        <v>478</v>
      </c>
      <c r="M118" s="50" t="s">
        <v>16</v>
      </c>
      <c r="N118" s="50" t="s">
        <v>242</v>
      </c>
      <c r="O118" s="50" t="s">
        <v>505</v>
      </c>
      <c r="R118" s="51">
        <v>43771</v>
      </c>
    </row>
    <row r="119" spans="1:18">
      <c r="A119" s="50" t="s">
        <v>413</v>
      </c>
      <c r="B119" s="50" t="s">
        <v>469</v>
      </c>
      <c r="C119" s="50">
        <v>11400</v>
      </c>
      <c r="D119" s="50" t="s">
        <v>493</v>
      </c>
      <c r="E119" s="67">
        <v>0.67</v>
      </c>
      <c r="F119" s="50" t="s">
        <v>480</v>
      </c>
      <c r="G119" s="50" t="s">
        <v>476</v>
      </c>
      <c r="H119" s="67">
        <v>1967</v>
      </c>
      <c r="I119" s="67"/>
      <c r="J119" s="50" t="s">
        <v>473</v>
      </c>
      <c r="L119" s="50" t="s">
        <v>81</v>
      </c>
      <c r="M119" s="50" t="s">
        <v>32</v>
      </c>
      <c r="N119" s="50" t="s">
        <v>414</v>
      </c>
      <c r="O119" s="50" t="s">
        <v>540</v>
      </c>
      <c r="P119" s="50" t="s">
        <v>32</v>
      </c>
      <c r="Q119" s="50" t="s">
        <v>415</v>
      </c>
      <c r="R119" s="51">
        <v>43557</v>
      </c>
    </row>
    <row r="120" spans="1:18">
      <c r="A120" s="50" t="s">
        <v>533</v>
      </c>
      <c r="B120" s="50" t="s">
        <v>469</v>
      </c>
      <c r="C120" s="50">
        <v>20970</v>
      </c>
      <c r="D120" s="50" t="s">
        <v>479</v>
      </c>
      <c r="E120" s="67">
        <v>0.65</v>
      </c>
      <c r="F120" s="50" t="s">
        <v>475</v>
      </c>
      <c r="G120" s="50" t="s">
        <v>476</v>
      </c>
      <c r="H120" s="67">
        <v>1964</v>
      </c>
      <c r="I120" s="67"/>
      <c r="J120" s="50" t="s">
        <v>473</v>
      </c>
      <c r="L120" s="50" t="s">
        <v>10</v>
      </c>
      <c r="M120" s="50" t="s">
        <v>16</v>
      </c>
      <c r="N120" s="50" t="s">
        <v>244</v>
      </c>
      <c r="O120" s="50" t="s">
        <v>529</v>
      </c>
      <c r="P120" s="50" t="s">
        <v>10</v>
      </c>
      <c r="R120" s="51">
        <v>43613</v>
      </c>
    </row>
    <row r="121" spans="1:18">
      <c r="A121" s="50" t="s">
        <v>417</v>
      </c>
      <c r="B121" s="50" t="s">
        <v>469</v>
      </c>
      <c r="C121" s="50">
        <v>13520</v>
      </c>
      <c r="D121" s="50" t="s">
        <v>493</v>
      </c>
      <c r="E121" s="67">
        <v>0.62</v>
      </c>
      <c r="F121" s="50" t="s">
        <v>475</v>
      </c>
      <c r="G121" s="50" t="s">
        <v>488</v>
      </c>
      <c r="H121" s="67">
        <v>1966</v>
      </c>
      <c r="I121" s="67"/>
      <c r="J121" s="50" t="s">
        <v>473</v>
      </c>
      <c r="L121" s="50" t="s">
        <v>204</v>
      </c>
      <c r="M121" s="50" t="s">
        <v>418</v>
      </c>
      <c r="N121" s="50" t="s">
        <v>419</v>
      </c>
      <c r="O121" s="50" t="s">
        <v>505</v>
      </c>
      <c r="R121" s="51"/>
    </row>
    <row r="122" spans="1:18">
      <c r="A122" s="50" t="s">
        <v>420</v>
      </c>
      <c r="B122" s="50" t="s">
        <v>469</v>
      </c>
      <c r="C122" s="50">
        <v>18250</v>
      </c>
      <c r="D122" s="50" t="s">
        <v>491</v>
      </c>
      <c r="E122" s="67">
        <v>0.69</v>
      </c>
      <c r="F122" s="50" t="s">
        <v>480</v>
      </c>
      <c r="G122" s="50" t="s">
        <v>488</v>
      </c>
      <c r="H122" s="67">
        <v>1961</v>
      </c>
      <c r="I122" s="67"/>
      <c r="J122" s="50" t="s">
        <v>473</v>
      </c>
      <c r="L122" s="50" t="s">
        <v>20</v>
      </c>
      <c r="M122" s="50" t="s">
        <v>21</v>
      </c>
      <c r="N122" s="50" t="s">
        <v>248</v>
      </c>
      <c r="O122" s="50" t="s">
        <v>474</v>
      </c>
      <c r="P122" s="50" t="s">
        <v>21</v>
      </c>
      <c r="Q122" s="50" t="s">
        <v>248</v>
      </c>
      <c r="R122" s="51">
        <v>43614</v>
      </c>
    </row>
    <row r="123" spans="1:18">
      <c r="A123" s="50" t="s">
        <v>422</v>
      </c>
      <c r="B123" s="50" t="s">
        <v>469</v>
      </c>
      <c r="C123" s="50">
        <v>19720</v>
      </c>
      <c r="D123" s="50" t="s">
        <v>491</v>
      </c>
      <c r="E123" s="67">
        <v>0.14000000000000001</v>
      </c>
      <c r="F123" s="50" t="s">
        <v>483</v>
      </c>
      <c r="G123" s="50" t="s">
        <v>498</v>
      </c>
      <c r="H123" s="67">
        <v>2004</v>
      </c>
      <c r="I123" s="67"/>
      <c r="J123" s="50" t="s">
        <v>477</v>
      </c>
      <c r="L123" s="50" t="s">
        <v>20</v>
      </c>
      <c r="M123" s="50" t="s">
        <v>16</v>
      </c>
      <c r="N123" s="50" t="s">
        <v>423</v>
      </c>
      <c r="O123" s="50" t="s">
        <v>529</v>
      </c>
      <c r="P123" s="50" t="s">
        <v>21</v>
      </c>
      <c r="R123" s="51">
        <v>45200</v>
      </c>
    </row>
    <row r="124" spans="1:18">
      <c r="A124" s="50" t="s">
        <v>424</v>
      </c>
      <c r="B124" s="50" t="s">
        <v>469</v>
      </c>
      <c r="C124" s="50">
        <v>29680</v>
      </c>
      <c r="D124" s="50" t="s">
        <v>486</v>
      </c>
      <c r="E124" s="67">
        <v>0.25</v>
      </c>
      <c r="F124" s="50" t="s">
        <v>483</v>
      </c>
      <c r="G124" s="50" t="s">
        <v>503</v>
      </c>
      <c r="H124" s="67">
        <v>1993</v>
      </c>
      <c r="I124" s="67"/>
      <c r="J124" s="50" t="s">
        <v>484</v>
      </c>
      <c r="L124" s="50" t="s">
        <v>81</v>
      </c>
      <c r="M124" s="50" t="s">
        <v>81</v>
      </c>
      <c r="N124" s="50" t="s">
        <v>425</v>
      </c>
      <c r="O124" s="50" t="s">
        <v>540</v>
      </c>
      <c r="P124" s="50" t="s">
        <v>16</v>
      </c>
      <c r="Q124" s="50" t="s">
        <v>426</v>
      </c>
      <c r="R124" s="51">
        <v>43675</v>
      </c>
    </row>
    <row r="125" spans="1:18">
      <c r="A125" s="50" t="s">
        <v>429</v>
      </c>
      <c r="B125" s="50" t="s">
        <v>469</v>
      </c>
      <c r="C125" s="50">
        <v>14205</v>
      </c>
      <c r="D125" s="50" t="s">
        <v>493</v>
      </c>
      <c r="E125" s="67">
        <v>0.45</v>
      </c>
      <c r="F125" s="50" t="s">
        <v>475</v>
      </c>
      <c r="G125" s="50" t="s">
        <v>476</v>
      </c>
      <c r="H125" s="67">
        <v>1992</v>
      </c>
      <c r="I125" s="67"/>
      <c r="J125" s="50" t="s">
        <v>484</v>
      </c>
      <c r="K125" s="50" t="s">
        <v>478</v>
      </c>
      <c r="L125" s="50" t="s">
        <v>10</v>
      </c>
      <c r="M125" s="50" t="s">
        <v>10</v>
      </c>
      <c r="N125" s="50" t="s">
        <v>430</v>
      </c>
      <c r="O125" s="50" t="s">
        <v>474</v>
      </c>
      <c r="P125" s="50" t="s">
        <v>10</v>
      </c>
      <c r="Q125" s="50" t="s">
        <v>430</v>
      </c>
      <c r="R125" s="51">
        <v>43562</v>
      </c>
    </row>
    <row r="126" spans="1:18">
      <c r="A126" s="50" t="s">
        <v>431</v>
      </c>
      <c r="B126" s="50" t="s">
        <v>469</v>
      </c>
      <c r="C126" s="50">
        <v>25490</v>
      </c>
      <c r="D126" s="50" t="s">
        <v>486</v>
      </c>
      <c r="E126" s="67">
        <v>0.59</v>
      </c>
      <c r="F126" s="50" t="s">
        <v>475</v>
      </c>
      <c r="G126" s="50" t="s">
        <v>490</v>
      </c>
      <c r="H126" s="67">
        <v>1965</v>
      </c>
      <c r="I126" s="67"/>
      <c r="J126" s="50" t="s">
        <v>473</v>
      </c>
      <c r="K126" s="50" t="s">
        <v>482</v>
      </c>
      <c r="L126" s="50" t="s">
        <v>433</v>
      </c>
      <c r="M126" s="50" t="s">
        <v>16</v>
      </c>
      <c r="N126" s="50" t="s">
        <v>432</v>
      </c>
      <c r="O126" s="50" t="s">
        <v>474</v>
      </c>
      <c r="P126" s="50" t="s">
        <v>16</v>
      </c>
      <c r="R126" s="51">
        <v>44511</v>
      </c>
    </row>
    <row r="127" spans="1:18">
      <c r="A127" s="50" t="s">
        <v>435</v>
      </c>
      <c r="B127" s="50" t="s">
        <v>469</v>
      </c>
      <c r="C127" s="50">
        <v>10155</v>
      </c>
      <c r="D127" s="50" t="s">
        <v>493</v>
      </c>
      <c r="E127" s="67">
        <v>0.13</v>
      </c>
      <c r="F127" s="50" t="s">
        <v>483</v>
      </c>
      <c r="G127" s="50" t="s">
        <v>498</v>
      </c>
      <c r="H127" s="67">
        <v>1993</v>
      </c>
      <c r="I127" s="67"/>
      <c r="J127" s="50" t="s">
        <v>484</v>
      </c>
      <c r="L127" s="50" t="s">
        <v>204</v>
      </c>
      <c r="M127" s="50" t="s">
        <v>16</v>
      </c>
      <c r="N127" s="50" t="s">
        <v>436</v>
      </c>
      <c r="O127" s="50" t="s">
        <v>505</v>
      </c>
      <c r="R127" s="51">
        <v>44340</v>
      </c>
    </row>
    <row r="128" spans="1:18">
      <c r="A128" s="50" t="s">
        <v>438</v>
      </c>
      <c r="B128" s="50" t="s">
        <v>469</v>
      </c>
      <c r="C128" s="50">
        <v>18385</v>
      </c>
      <c r="D128" s="50" t="s">
        <v>491</v>
      </c>
      <c r="E128" s="67">
        <v>0.47</v>
      </c>
      <c r="F128" s="50" t="s">
        <v>475</v>
      </c>
      <c r="G128" s="50" t="s">
        <v>498</v>
      </c>
      <c r="H128" s="67">
        <v>1992</v>
      </c>
      <c r="I128" s="67"/>
      <c r="J128" s="50" t="s">
        <v>484</v>
      </c>
      <c r="M128" s="50" t="s">
        <v>499</v>
      </c>
      <c r="N128" s="50" t="s">
        <v>439</v>
      </c>
      <c r="O128" s="50" t="s">
        <v>505</v>
      </c>
      <c r="R128" s="51">
        <v>43648</v>
      </c>
    </row>
    <row r="129" spans="1:18">
      <c r="A129" s="50" t="s">
        <v>440</v>
      </c>
      <c r="B129" s="50" t="s">
        <v>469</v>
      </c>
      <c r="C129" s="50">
        <v>7435</v>
      </c>
      <c r="D129" s="50" t="s">
        <v>501</v>
      </c>
      <c r="E129" s="67">
        <v>0.38</v>
      </c>
      <c r="F129" s="50" t="s">
        <v>475</v>
      </c>
      <c r="G129" s="50" t="s">
        <v>488</v>
      </c>
      <c r="H129" s="67">
        <v>2005</v>
      </c>
      <c r="I129" s="67"/>
      <c r="J129" s="50" t="s">
        <v>477</v>
      </c>
      <c r="K129" s="50" t="s">
        <v>513</v>
      </c>
      <c r="L129" s="50" t="s">
        <v>29</v>
      </c>
      <c r="M129" s="50" t="s">
        <v>10</v>
      </c>
      <c r="N129" s="50" t="s">
        <v>441</v>
      </c>
      <c r="O129" s="50" t="s">
        <v>505</v>
      </c>
      <c r="R129" s="51">
        <v>43587</v>
      </c>
    </row>
    <row r="130" spans="1:18">
      <c r="A130" s="50" t="s">
        <v>442</v>
      </c>
      <c r="B130" s="50" t="s">
        <v>469</v>
      </c>
      <c r="C130" s="50">
        <v>14580</v>
      </c>
      <c r="D130" s="50" t="s">
        <v>493</v>
      </c>
      <c r="E130" s="67">
        <v>0.35</v>
      </c>
      <c r="F130" s="50" t="s">
        <v>475</v>
      </c>
      <c r="G130" s="50" t="s">
        <v>490</v>
      </c>
      <c r="H130" s="67">
        <v>1992</v>
      </c>
      <c r="I130" s="67"/>
      <c r="J130" s="50" t="s">
        <v>484</v>
      </c>
      <c r="K130" s="50" t="s">
        <v>478</v>
      </c>
      <c r="L130" s="50" t="s">
        <v>20</v>
      </c>
      <c r="M130" s="50" t="s">
        <v>32</v>
      </c>
      <c r="N130" s="50" t="s">
        <v>443</v>
      </c>
      <c r="O130" s="50" t="s">
        <v>505</v>
      </c>
      <c r="R130" s="51">
        <v>43557</v>
      </c>
    </row>
    <row r="131" spans="1:18">
      <c r="A131" s="50" t="s">
        <v>444</v>
      </c>
      <c r="B131" s="50" t="s">
        <v>469</v>
      </c>
      <c r="C131" s="50">
        <v>7300</v>
      </c>
      <c r="D131" s="50" t="s">
        <v>501</v>
      </c>
      <c r="E131" s="67">
        <v>0.34</v>
      </c>
      <c r="F131" s="50" t="s">
        <v>475</v>
      </c>
      <c r="G131" s="50" t="s">
        <v>490</v>
      </c>
      <c r="H131" s="67">
        <v>2005</v>
      </c>
      <c r="I131" s="67"/>
      <c r="J131" s="50" t="s">
        <v>477</v>
      </c>
      <c r="K131" s="50" t="s">
        <v>522</v>
      </c>
      <c r="L131" s="50" t="s">
        <v>29</v>
      </c>
      <c r="M131" s="50" t="s">
        <v>16</v>
      </c>
      <c r="N131" s="50" t="s">
        <v>445</v>
      </c>
      <c r="O131" s="50" t="s">
        <v>505</v>
      </c>
      <c r="R131" s="51">
        <v>43587</v>
      </c>
    </row>
    <row r="132" spans="1:18">
      <c r="A132" s="50" t="s">
        <v>447</v>
      </c>
      <c r="B132" s="50" t="s">
        <v>469</v>
      </c>
      <c r="C132" s="50">
        <v>20135</v>
      </c>
      <c r="D132" s="50" t="s">
        <v>479</v>
      </c>
      <c r="E132" s="67">
        <v>0.65</v>
      </c>
      <c r="F132" s="50" t="s">
        <v>475</v>
      </c>
      <c r="G132" s="50" t="s">
        <v>508</v>
      </c>
      <c r="H132" s="67">
        <v>1963</v>
      </c>
      <c r="I132" s="67"/>
      <c r="J132" s="50" t="s">
        <v>473</v>
      </c>
      <c r="K132" s="50" t="s">
        <v>482</v>
      </c>
      <c r="L132" s="50" t="s">
        <v>10</v>
      </c>
      <c r="M132" s="50" t="s">
        <v>16</v>
      </c>
      <c r="N132" s="50" t="s">
        <v>350</v>
      </c>
      <c r="O132" s="50" t="s">
        <v>529</v>
      </c>
      <c r="P132" s="50" t="s">
        <v>10</v>
      </c>
      <c r="Q132" s="50" t="s">
        <v>448</v>
      </c>
      <c r="R132" s="51">
        <v>44768</v>
      </c>
    </row>
    <row r="133" spans="1:18">
      <c r="A133" s="50" t="s">
        <v>534</v>
      </c>
      <c r="B133" s="50" t="s">
        <v>469</v>
      </c>
      <c r="C133" s="50">
        <v>6790</v>
      </c>
      <c r="D133" s="50" t="s">
        <v>501</v>
      </c>
      <c r="E133" s="67">
        <v>0.47</v>
      </c>
      <c r="F133" s="50" t="s">
        <v>475</v>
      </c>
      <c r="G133" s="50" t="s">
        <v>508</v>
      </c>
      <c r="H133" s="67">
        <v>2006</v>
      </c>
      <c r="I133" s="67"/>
      <c r="J133" s="50" t="s">
        <v>477</v>
      </c>
      <c r="M133" s="50" t="s">
        <v>16</v>
      </c>
      <c r="N133" s="50" t="s">
        <v>450</v>
      </c>
      <c r="O133" s="50" t="s">
        <v>529</v>
      </c>
      <c r="P133" s="50" t="s">
        <v>21</v>
      </c>
      <c r="Q133" s="50" t="s">
        <v>535</v>
      </c>
      <c r="R133" s="51">
        <v>43587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B7FA9-8B16-42ED-8B23-04CDEDEBAE16}">
  <dimension ref="A1:K119"/>
  <sheetViews>
    <sheetView workbookViewId="0"/>
  </sheetViews>
  <sheetFormatPr defaultColWidth="10.7109375" defaultRowHeight="12.75"/>
  <cols>
    <col min="1" max="11" width="15.7109375" style="70" customWidth="1"/>
    <col min="12" max="16384" width="10.7109375" style="70"/>
  </cols>
  <sheetData>
    <row r="1" spans="1:11">
      <c r="A1" s="70" t="s">
        <v>451</v>
      </c>
      <c r="B1" s="70" t="s">
        <v>453</v>
      </c>
      <c r="C1" s="70" t="s">
        <v>454</v>
      </c>
      <c r="D1" s="70" t="s">
        <v>455</v>
      </c>
      <c r="E1" s="70" t="s">
        <v>456</v>
      </c>
      <c r="F1" s="70" t="s">
        <v>457</v>
      </c>
      <c r="G1" s="70" t="s">
        <v>458</v>
      </c>
      <c r="H1" s="70" t="s">
        <v>459</v>
      </c>
      <c r="I1" s="70" t="s">
        <v>460</v>
      </c>
      <c r="J1" s="70" t="s">
        <v>461</v>
      </c>
      <c r="K1" s="70" t="s">
        <v>463</v>
      </c>
    </row>
    <row r="2" spans="1:11">
      <c r="A2" s="70" t="s">
        <v>387</v>
      </c>
      <c r="B2" s="70">
        <v>15540</v>
      </c>
      <c r="C2" s="70" t="s">
        <v>491</v>
      </c>
      <c r="D2" s="70">
        <v>0.45</v>
      </c>
      <c r="E2" s="70" t="s">
        <v>475</v>
      </c>
      <c r="F2" s="70" t="s">
        <v>503</v>
      </c>
      <c r="G2" s="70">
        <v>1992</v>
      </c>
      <c r="I2" s="70" t="s">
        <v>484</v>
      </c>
      <c r="K2" s="70" t="s">
        <v>504</v>
      </c>
    </row>
    <row r="3" spans="1:11">
      <c r="A3" s="70" t="s">
        <v>78</v>
      </c>
      <c r="B3" s="70">
        <v>22275</v>
      </c>
      <c r="C3" s="70" t="s">
        <v>479</v>
      </c>
      <c r="D3" s="70">
        <v>0.39</v>
      </c>
      <c r="E3" s="70" t="s">
        <v>475</v>
      </c>
      <c r="F3" s="70" t="s">
        <v>496</v>
      </c>
      <c r="G3" s="70">
        <v>1992</v>
      </c>
      <c r="I3" s="70" t="s">
        <v>484</v>
      </c>
      <c r="K3" s="70" t="s">
        <v>32</v>
      </c>
    </row>
    <row r="4" spans="1:11">
      <c r="A4" s="70" t="s">
        <v>74</v>
      </c>
      <c r="B4" s="70">
        <v>3360</v>
      </c>
      <c r="C4" s="70" t="s">
        <v>470</v>
      </c>
      <c r="D4" s="70" t="s">
        <v>471</v>
      </c>
      <c r="E4" s="70" t="s">
        <v>304</v>
      </c>
      <c r="F4" s="70" t="s">
        <v>472</v>
      </c>
      <c r="G4" s="70">
        <v>1967</v>
      </c>
      <c r="I4" s="70" t="s">
        <v>473</v>
      </c>
      <c r="K4" s="70" t="s">
        <v>32</v>
      </c>
    </row>
    <row r="5" spans="1:11">
      <c r="A5" s="70" t="s">
        <v>274</v>
      </c>
      <c r="B5" s="70">
        <v>12935</v>
      </c>
      <c r="C5" s="70" t="s">
        <v>493</v>
      </c>
      <c r="D5" s="70">
        <v>0.23</v>
      </c>
      <c r="E5" s="70" t="s">
        <v>483</v>
      </c>
      <c r="F5" s="70" t="s">
        <v>472</v>
      </c>
      <c r="G5" s="70">
        <v>1993</v>
      </c>
      <c r="I5" s="70" t="s">
        <v>484</v>
      </c>
      <c r="J5" s="70" t="s">
        <v>478</v>
      </c>
      <c r="K5" s="70" t="s">
        <v>32</v>
      </c>
    </row>
    <row r="6" spans="1:11">
      <c r="A6" s="70" t="s">
        <v>294</v>
      </c>
      <c r="B6" s="70">
        <v>20980</v>
      </c>
      <c r="C6" s="70" t="s">
        <v>479</v>
      </c>
      <c r="D6" s="70">
        <v>1</v>
      </c>
      <c r="E6" s="70" t="s">
        <v>480</v>
      </c>
      <c r="F6" s="70" t="s">
        <v>472</v>
      </c>
      <c r="G6" s="70">
        <v>1209</v>
      </c>
      <c r="I6" s="70" t="s">
        <v>481</v>
      </c>
      <c r="J6" s="70" t="s">
        <v>482</v>
      </c>
      <c r="K6" s="70" t="s">
        <v>32</v>
      </c>
    </row>
    <row r="7" spans="1:11">
      <c r="A7" s="70" t="s">
        <v>338</v>
      </c>
      <c r="B7" s="70">
        <v>23060</v>
      </c>
      <c r="C7" s="70" t="s">
        <v>479</v>
      </c>
      <c r="D7" s="70">
        <v>0.32</v>
      </c>
      <c r="E7" s="70" t="s">
        <v>483</v>
      </c>
      <c r="F7" s="70" t="s">
        <v>472</v>
      </c>
      <c r="G7" s="70">
        <v>1992</v>
      </c>
      <c r="I7" s="70" t="s">
        <v>484</v>
      </c>
      <c r="K7" s="70" t="s">
        <v>32</v>
      </c>
    </row>
    <row r="8" spans="1:11">
      <c r="A8" s="70" t="s">
        <v>52</v>
      </c>
      <c r="B8" s="70">
        <v>14630</v>
      </c>
      <c r="C8" s="70" t="s">
        <v>493</v>
      </c>
      <c r="D8" s="70">
        <v>0.75</v>
      </c>
      <c r="E8" s="70" t="s">
        <v>480</v>
      </c>
      <c r="F8" s="70" t="s">
        <v>498</v>
      </c>
      <c r="G8" s="70">
        <v>1966</v>
      </c>
      <c r="I8" s="70" t="s">
        <v>473</v>
      </c>
      <c r="K8" s="70" t="s">
        <v>32</v>
      </c>
    </row>
    <row r="9" spans="1:11">
      <c r="A9" s="70" t="s">
        <v>112</v>
      </c>
      <c r="B9" s="70">
        <v>21000</v>
      </c>
      <c r="C9" s="70" t="s">
        <v>479</v>
      </c>
      <c r="D9" s="70">
        <v>0.8</v>
      </c>
      <c r="E9" s="70" t="s">
        <v>480</v>
      </c>
      <c r="F9" s="70" t="s">
        <v>498</v>
      </c>
      <c r="G9" s="70">
        <v>2007</v>
      </c>
      <c r="I9" s="70" t="s">
        <v>477</v>
      </c>
      <c r="J9" s="70" t="s">
        <v>482</v>
      </c>
      <c r="K9" s="70" t="s">
        <v>32</v>
      </c>
    </row>
    <row r="10" spans="1:11">
      <c r="A10" s="70" t="s">
        <v>207</v>
      </c>
      <c r="B10" s="70">
        <v>25110</v>
      </c>
      <c r="C10" s="70" t="s">
        <v>486</v>
      </c>
      <c r="D10" s="70">
        <v>0.61</v>
      </c>
      <c r="E10" s="70" t="s">
        <v>475</v>
      </c>
      <c r="F10" s="70" t="s">
        <v>498</v>
      </c>
      <c r="G10" s="70" t="s">
        <v>507</v>
      </c>
      <c r="H10" s="70">
        <v>2008</v>
      </c>
      <c r="I10" s="70" t="s">
        <v>477</v>
      </c>
      <c r="J10" s="70" t="s">
        <v>482</v>
      </c>
      <c r="K10" s="70" t="s">
        <v>32</v>
      </c>
    </row>
    <row r="11" spans="1:11">
      <c r="A11" s="70" t="s">
        <v>302</v>
      </c>
      <c r="B11" s="70">
        <v>11110</v>
      </c>
      <c r="C11" s="70" t="s">
        <v>493</v>
      </c>
      <c r="D11" s="70">
        <v>0.48</v>
      </c>
      <c r="E11" s="70" t="s">
        <v>475</v>
      </c>
      <c r="F11" s="70" t="s">
        <v>487</v>
      </c>
      <c r="G11" s="70">
        <v>2005</v>
      </c>
      <c r="I11" s="70" t="s">
        <v>477</v>
      </c>
      <c r="K11" s="70" t="s">
        <v>32</v>
      </c>
    </row>
    <row r="12" spans="1:11">
      <c r="A12" s="70" t="s">
        <v>104</v>
      </c>
      <c r="B12" s="70">
        <v>10140</v>
      </c>
      <c r="C12" s="70" t="s">
        <v>493</v>
      </c>
      <c r="D12" s="70">
        <v>0.67</v>
      </c>
      <c r="E12" s="70" t="s">
        <v>480</v>
      </c>
      <c r="F12" s="70" t="s">
        <v>476</v>
      </c>
      <c r="G12" s="70">
        <v>1966</v>
      </c>
      <c r="I12" s="70" t="s">
        <v>473</v>
      </c>
      <c r="K12" s="70" t="s">
        <v>32</v>
      </c>
    </row>
    <row r="13" spans="1:11">
      <c r="A13" s="70" t="s">
        <v>202</v>
      </c>
      <c r="B13" s="70">
        <v>4475</v>
      </c>
      <c r="C13" s="70" t="s">
        <v>470</v>
      </c>
      <c r="D13" s="70">
        <v>0.37</v>
      </c>
      <c r="E13" s="70" t="s">
        <v>475</v>
      </c>
      <c r="F13" s="70" t="s">
        <v>476</v>
      </c>
      <c r="G13" s="70">
        <v>2007</v>
      </c>
      <c r="I13" s="70" t="s">
        <v>477</v>
      </c>
      <c r="J13" s="70" t="s">
        <v>478</v>
      </c>
      <c r="K13" s="70" t="s">
        <v>32</v>
      </c>
    </row>
    <row r="14" spans="1:11">
      <c r="A14" s="70" t="s">
        <v>408</v>
      </c>
      <c r="B14" s="70">
        <v>10750</v>
      </c>
      <c r="C14" s="70" t="s">
        <v>493</v>
      </c>
      <c r="D14" s="70">
        <v>0.71</v>
      </c>
      <c r="E14" s="70" t="s">
        <v>480</v>
      </c>
      <c r="F14" s="70" t="s">
        <v>476</v>
      </c>
      <c r="G14" s="70">
        <v>1413</v>
      </c>
      <c r="I14" s="70" t="s">
        <v>481</v>
      </c>
      <c r="K14" s="70" t="s">
        <v>32</v>
      </c>
    </row>
    <row r="15" spans="1:11">
      <c r="A15" s="70" t="s">
        <v>413</v>
      </c>
      <c r="B15" s="70">
        <v>11400</v>
      </c>
      <c r="C15" s="70" t="s">
        <v>493</v>
      </c>
      <c r="D15" s="70">
        <v>0.67</v>
      </c>
      <c r="E15" s="70" t="s">
        <v>480</v>
      </c>
      <c r="F15" s="70" t="s">
        <v>476</v>
      </c>
      <c r="G15" s="70">
        <v>1967</v>
      </c>
      <c r="I15" s="70" t="s">
        <v>473</v>
      </c>
      <c r="K15" s="70" t="s">
        <v>32</v>
      </c>
    </row>
    <row r="16" spans="1:11">
      <c r="A16" s="70" t="s">
        <v>327</v>
      </c>
      <c r="B16" s="70">
        <v>29310</v>
      </c>
      <c r="C16" s="70" t="s">
        <v>486</v>
      </c>
      <c r="D16" s="70">
        <v>0.69</v>
      </c>
      <c r="E16" s="70" t="s">
        <v>480</v>
      </c>
      <c r="F16" s="70" t="s">
        <v>503</v>
      </c>
      <c r="G16" s="70">
        <v>1955</v>
      </c>
      <c r="I16" s="70" t="s">
        <v>489</v>
      </c>
      <c r="J16" s="70" t="s">
        <v>482</v>
      </c>
      <c r="K16" s="70" t="s">
        <v>32</v>
      </c>
    </row>
    <row r="17" spans="1:11">
      <c r="A17" s="70" t="s">
        <v>31</v>
      </c>
      <c r="B17" s="70">
        <v>8545</v>
      </c>
      <c r="C17" s="70" t="s">
        <v>501</v>
      </c>
      <c r="D17" s="70">
        <v>0.46</v>
      </c>
      <c r="E17" s="70" t="s">
        <v>475</v>
      </c>
      <c r="F17" s="70" t="s">
        <v>494</v>
      </c>
      <c r="G17" s="70">
        <v>2007</v>
      </c>
      <c r="I17" s="70" t="s">
        <v>477</v>
      </c>
      <c r="K17" s="70" t="s">
        <v>32</v>
      </c>
    </row>
    <row r="18" spans="1:11">
      <c r="A18" s="70" t="s">
        <v>442</v>
      </c>
      <c r="B18" s="70">
        <v>14580</v>
      </c>
      <c r="C18" s="70" t="s">
        <v>493</v>
      </c>
      <c r="D18" s="70">
        <v>0.35</v>
      </c>
      <c r="E18" s="70" t="s">
        <v>475</v>
      </c>
      <c r="F18" s="70" t="s">
        <v>490</v>
      </c>
      <c r="G18" s="70">
        <v>1992</v>
      </c>
      <c r="I18" s="70" t="s">
        <v>484</v>
      </c>
      <c r="J18" s="70" t="s">
        <v>478</v>
      </c>
      <c r="K18" s="70" t="s">
        <v>32</v>
      </c>
    </row>
    <row r="19" spans="1:11">
      <c r="A19" s="70" t="s">
        <v>284</v>
      </c>
      <c r="B19" s="70">
        <v>10230</v>
      </c>
      <c r="C19" s="70" t="s">
        <v>493</v>
      </c>
      <c r="D19" s="70">
        <v>0.53</v>
      </c>
      <c r="E19" s="70" t="s">
        <v>475</v>
      </c>
      <c r="F19" s="70" t="s">
        <v>508</v>
      </c>
      <c r="G19" s="70">
        <v>1966</v>
      </c>
      <c r="I19" s="70" t="s">
        <v>473</v>
      </c>
      <c r="K19" s="70" t="s">
        <v>32</v>
      </c>
    </row>
    <row r="20" spans="1:11">
      <c r="A20" s="70" t="s">
        <v>269</v>
      </c>
      <c r="B20" s="70">
        <v>13455</v>
      </c>
      <c r="C20" s="70" t="s">
        <v>493</v>
      </c>
      <c r="D20" s="70">
        <v>0.73</v>
      </c>
      <c r="E20" s="70" t="s">
        <v>480</v>
      </c>
      <c r="F20" s="70" t="s">
        <v>476</v>
      </c>
      <c r="G20" s="70">
        <v>1495</v>
      </c>
      <c r="I20" s="70" t="s">
        <v>481</v>
      </c>
      <c r="K20" s="70" t="s">
        <v>509</v>
      </c>
    </row>
    <row r="21" spans="1:11">
      <c r="A21" s="70" t="s">
        <v>320</v>
      </c>
      <c r="B21" s="70">
        <v>37035</v>
      </c>
      <c r="C21" s="70" t="s">
        <v>486</v>
      </c>
      <c r="D21" s="70">
        <v>0.76</v>
      </c>
      <c r="E21" s="70" t="s">
        <v>480</v>
      </c>
      <c r="F21" s="70" t="s">
        <v>476</v>
      </c>
      <c r="G21" s="70">
        <v>1583</v>
      </c>
      <c r="I21" s="70" t="s">
        <v>481</v>
      </c>
      <c r="J21" s="70" t="s">
        <v>482</v>
      </c>
      <c r="K21" s="70" t="s">
        <v>509</v>
      </c>
    </row>
    <row r="22" spans="1:11">
      <c r="A22" s="70" t="s">
        <v>360</v>
      </c>
      <c r="B22" s="70">
        <v>14840</v>
      </c>
      <c r="C22" s="70" t="s">
        <v>493</v>
      </c>
      <c r="D22" s="70">
        <v>0.39</v>
      </c>
      <c r="E22" s="70" t="s">
        <v>475</v>
      </c>
      <c r="F22" s="70" t="s">
        <v>496</v>
      </c>
      <c r="G22" s="70">
        <v>1993</v>
      </c>
      <c r="I22" s="70" t="s">
        <v>484</v>
      </c>
      <c r="K22" s="70" t="s">
        <v>16</v>
      </c>
    </row>
    <row r="23" spans="1:11">
      <c r="A23" s="70" t="s">
        <v>372</v>
      </c>
      <c r="B23" s="70">
        <v>10520</v>
      </c>
      <c r="C23" s="70" t="s">
        <v>493</v>
      </c>
      <c r="D23" s="70">
        <v>0.24</v>
      </c>
      <c r="E23" s="70" t="s">
        <v>483</v>
      </c>
      <c r="F23" s="70" t="s">
        <v>496</v>
      </c>
      <c r="G23" s="70">
        <v>2005</v>
      </c>
      <c r="I23" s="70" t="s">
        <v>477</v>
      </c>
      <c r="K23" s="70" t="s">
        <v>16</v>
      </c>
    </row>
    <row r="24" spans="1:11">
      <c r="A24" s="70" t="s">
        <v>193</v>
      </c>
      <c r="B24" s="70">
        <v>2625</v>
      </c>
      <c r="C24" s="70" t="s">
        <v>470</v>
      </c>
      <c r="D24" s="70">
        <v>0.13</v>
      </c>
      <c r="E24" s="70" t="s">
        <v>483</v>
      </c>
      <c r="F24" s="70" t="s">
        <v>472</v>
      </c>
      <c r="G24" s="70">
        <v>2012</v>
      </c>
      <c r="I24" s="70" t="s">
        <v>477</v>
      </c>
      <c r="J24" s="70" t="s">
        <v>513</v>
      </c>
      <c r="K24" s="70" t="s">
        <v>16</v>
      </c>
    </row>
    <row r="25" spans="1:11">
      <c r="A25" s="70" t="s">
        <v>313</v>
      </c>
      <c r="B25" s="70">
        <v>16330</v>
      </c>
      <c r="C25" s="70" t="s">
        <v>491</v>
      </c>
      <c r="D25" s="70">
        <v>0.56000000000000005</v>
      </c>
      <c r="E25" s="70" t="s">
        <v>475</v>
      </c>
      <c r="F25" s="70" t="s">
        <v>472</v>
      </c>
      <c r="G25" s="70">
        <v>1964</v>
      </c>
      <c r="I25" s="70" t="s">
        <v>473</v>
      </c>
      <c r="K25" s="70" t="s">
        <v>16</v>
      </c>
    </row>
    <row r="26" spans="1:11">
      <c r="A26" s="70" t="s">
        <v>325</v>
      </c>
      <c r="B26" s="70">
        <v>14915</v>
      </c>
      <c r="C26" s="70" t="s">
        <v>493</v>
      </c>
      <c r="D26" s="70">
        <v>0.65</v>
      </c>
      <c r="E26" s="70" t="s">
        <v>475</v>
      </c>
      <c r="F26" s="70" t="s">
        <v>472</v>
      </c>
      <c r="G26" s="70">
        <v>1965</v>
      </c>
      <c r="I26" s="70" t="s">
        <v>473</v>
      </c>
      <c r="K26" s="70" t="s">
        <v>16</v>
      </c>
    </row>
    <row r="27" spans="1:11">
      <c r="A27" s="70" t="s">
        <v>511</v>
      </c>
      <c r="B27" s="70">
        <v>7625</v>
      </c>
      <c r="C27" s="70" t="s">
        <v>501</v>
      </c>
      <c r="D27" s="70" t="s">
        <v>471</v>
      </c>
      <c r="E27" s="70" t="s">
        <v>304</v>
      </c>
      <c r="F27" s="70" t="s">
        <v>498</v>
      </c>
      <c r="G27" s="70" t="s">
        <v>507</v>
      </c>
      <c r="H27" s="70">
        <v>2012</v>
      </c>
      <c r="I27" s="70" t="s">
        <v>477</v>
      </c>
      <c r="K27" s="70" t="s">
        <v>16</v>
      </c>
    </row>
    <row r="28" spans="1:11">
      <c r="A28" s="70" t="s">
        <v>66</v>
      </c>
      <c r="B28" s="70">
        <v>16415</v>
      </c>
      <c r="C28" s="70" t="s">
        <v>491</v>
      </c>
      <c r="D28" s="70">
        <v>0.56000000000000005</v>
      </c>
      <c r="E28" s="70" t="s">
        <v>475</v>
      </c>
      <c r="F28" s="70" t="s">
        <v>498</v>
      </c>
      <c r="G28" s="70" t="s">
        <v>507</v>
      </c>
      <c r="H28" s="70">
        <v>1966</v>
      </c>
      <c r="I28" s="70" t="s">
        <v>473</v>
      </c>
      <c r="K28" s="70" t="s">
        <v>16</v>
      </c>
    </row>
    <row r="29" spans="1:11">
      <c r="A29" s="70" t="s">
        <v>100</v>
      </c>
      <c r="B29" s="70">
        <v>8355</v>
      </c>
      <c r="C29" s="70" t="s">
        <v>501</v>
      </c>
      <c r="D29" s="70">
        <v>0.64</v>
      </c>
      <c r="E29" s="70" t="s">
        <v>475</v>
      </c>
      <c r="F29" s="70" t="s">
        <v>498</v>
      </c>
      <c r="G29" s="70" t="s">
        <v>507</v>
      </c>
      <c r="H29" s="70">
        <v>2007</v>
      </c>
      <c r="I29" s="70" t="s">
        <v>477</v>
      </c>
      <c r="K29" s="70" t="s">
        <v>16</v>
      </c>
    </row>
    <row r="30" spans="1:11">
      <c r="A30" s="70" t="s">
        <v>128</v>
      </c>
      <c r="B30" s="70">
        <v>15800</v>
      </c>
      <c r="C30" s="70" t="s">
        <v>491</v>
      </c>
      <c r="D30" s="70">
        <v>0.39</v>
      </c>
      <c r="E30" s="70" t="s">
        <v>475</v>
      </c>
      <c r="F30" s="70" t="s">
        <v>498</v>
      </c>
      <c r="G30" s="70">
        <v>1993</v>
      </c>
      <c r="I30" s="70" t="s">
        <v>484</v>
      </c>
      <c r="K30" s="70" t="s">
        <v>16</v>
      </c>
    </row>
    <row r="31" spans="1:11">
      <c r="A31" s="70" t="s">
        <v>516</v>
      </c>
      <c r="B31" s="70">
        <v>12150</v>
      </c>
      <c r="C31" s="70" t="s">
        <v>493</v>
      </c>
      <c r="D31" s="70">
        <v>0.65</v>
      </c>
      <c r="E31" s="70" t="s">
        <v>475</v>
      </c>
      <c r="F31" s="70" t="s">
        <v>498</v>
      </c>
      <c r="G31" s="70">
        <v>2022</v>
      </c>
      <c r="I31" s="70" t="s">
        <v>477</v>
      </c>
      <c r="J31" s="70" t="s">
        <v>482</v>
      </c>
      <c r="K31" s="70" t="s">
        <v>16</v>
      </c>
    </row>
    <row r="32" spans="1:11">
      <c r="A32" s="70" t="s">
        <v>542</v>
      </c>
      <c r="B32" s="70">
        <v>870</v>
      </c>
      <c r="C32" s="70" t="s">
        <v>470</v>
      </c>
      <c r="D32" s="70" t="s">
        <v>471</v>
      </c>
      <c r="E32" s="70" t="s">
        <v>304</v>
      </c>
      <c r="F32" s="70" t="s">
        <v>498</v>
      </c>
      <c r="G32" s="70" t="s">
        <v>507</v>
      </c>
      <c r="H32" s="70">
        <v>2010</v>
      </c>
      <c r="I32" s="70" t="s">
        <v>477</v>
      </c>
      <c r="K32" s="70" t="s">
        <v>16</v>
      </c>
    </row>
    <row r="33" spans="1:11">
      <c r="A33" s="70" t="s">
        <v>520</v>
      </c>
      <c r="B33" s="70">
        <v>5240</v>
      </c>
      <c r="C33" s="70" t="s">
        <v>501</v>
      </c>
      <c r="D33" s="70">
        <v>0.56999999999999995</v>
      </c>
      <c r="E33" s="70" t="s">
        <v>475</v>
      </c>
      <c r="F33" s="70" t="s">
        <v>498</v>
      </c>
      <c r="G33" s="70" t="s">
        <v>507</v>
      </c>
      <c r="H33" s="70">
        <v>2011</v>
      </c>
      <c r="I33" s="70" t="s">
        <v>477</v>
      </c>
      <c r="K33" s="70" t="s">
        <v>16</v>
      </c>
    </row>
    <row r="34" spans="1:11">
      <c r="A34" s="70" t="s">
        <v>532</v>
      </c>
      <c r="B34" s="70">
        <v>3705</v>
      </c>
      <c r="C34" s="70" t="s">
        <v>470</v>
      </c>
      <c r="D34" s="70">
        <v>0.38</v>
      </c>
      <c r="E34" s="70" t="s">
        <v>475</v>
      </c>
      <c r="F34" s="70" t="s">
        <v>498</v>
      </c>
      <c r="G34" s="70" t="s">
        <v>507</v>
      </c>
      <c r="H34" s="70">
        <v>1966</v>
      </c>
      <c r="I34" s="70" t="s">
        <v>473</v>
      </c>
      <c r="K34" s="70" t="s">
        <v>16</v>
      </c>
    </row>
    <row r="35" spans="1:11">
      <c r="A35" s="70" t="s">
        <v>239</v>
      </c>
      <c r="B35" s="70">
        <v>4635</v>
      </c>
      <c r="C35" s="70" t="s">
        <v>470</v>
      </c>
      <c r="D35" s="70">
        <v>0.47</v>
      </c>
      <c r="E35" s="70" t="s">
        <v>475</v>
      </c>
      <c r="F35" s="70" t="s">
        <v>498</v>
      </c>
      <c r="G35" s="70">
        <v>2014</v>
      </c>
      <c r="I35" s="70" t="s">
        <v>477</v>
      </c>
      <c r="J35" s="70" t="s">
        <v>513</v>
      </c>
      <c r="K35" s="70" t="s">
        <v>16</v>
      </c>
    </row>
    <row r="36" spans="1:11">
      <c r="A36" s="70" t="s">
        <v>262</v>
      </c>
      <c r="B36" s="70">
        <v>41935</v>
      </c>
      <c r="C36" s="70" t="s">
        <v>486</v>
      </c>
      <c r="D36" s="70">
        <v>0.72</v>
      </c>
      <c r="E36" s="70" t="s">
        <v>480</v>
      </c>
      <c r="F36" s="70" t="s">
        <v>498</v>
      </c>
      <c r="G36" s="70">
        <v>1826</v>
      </c>
      <c r="I36" s="70" t="s">
        <v>515</v>
      </c>
      <c r="J36" s="70" t="s">
        <v>482</v>
      </c>
      <c r="K36" s="70" t="s">
        <v>16</v>
      </c>
    </row>
    <row r="37" spans="1:11">
      <c r="A37" s="70" t="s">
        <v>334</v>
      </c>
      <c r="B37" s="70">
        <v>19330</v>
      </c>
      <c r="C37" s="70" t="s">
        <v>491</v>
      </c>
      <c r="D37" s="70">
        <v>0.51</v>
      </c>
      <c r="E37" s="70" t="s">
        <v>475</v>
      </c>
      <c r="F37" s="70" t="s">
        <v>498</v>
      </c>
      <c r="G37" s="70">
        <v>1992</v>
      </c>
      <c r="I37" s="70" t="s">
        <v>484</v>
      </c>
      <c r="K37" s="70" t="s">
        <v>16</v>
      </c>
    </row>
    <row r="38" spans="1:11">
      <c r="A38" s="70" t="s">
        <v>422</v>
      </c>
      <c r="B38" s="70">
        <v>19720</v>
      </c>
      <c r="C38" s="70" t="s">
        <v>491</v>
      </c>
      <c r="D38" s="70">
        <v>0.14000000000000001</v>
      </c>
      <c r="E38" s="70" t="s">
        <v>483</v>
      </c>
      <c r="F38" s="70" t="s">
        <v>498</v>
      </c>
      <c r="G38" s="70">
        <v>2004</v>
      </c>
      <c r="I38" s="70" t="s">
        <v>477</v>
      </c>
      <c r="K38" s="70" t="s">
        <v>16</v>
      </c>
    </row>
    <row r="39" spans="1:11">
      <c r="A39" s="70" t="s">
        <v>435</v>
      </c>
      <c r="B39" s="70">
        <v>10155</v>
      </c>
      <c r="C39" s="70" t="s">
        <v>493</v>
      </c>
      <c r="D39" s="70">
        <v>0.13</v>
      </c>
      <c r="E39" s="70" t="s">
        <v>483</v>
      </c>
      <c r="F39" s="70" t="s">
        <v>498</v>
      </c>
      <c r="G39" s="70">
        <v>1993</v>
      </c>
      <c r="I39" s="70" t="s">
        <v>484</v>
      </c>
      <c r="K39" s="70" t="s">
        <v>16</v>
      </c>
    </row>
    <row r="40" spans="1:11">
      <c r="A40" s="70" t="s">
        <v>181</v>
      </c>
      <c r="B40" s="70">
        <v>24885</v>
      </c>
      <c r="C40" s="70" t="s">
        <v>479</v>
      </c>
      <c r="D40" s="70">
        <v>0.7</v>
      </c>
      <c r="E40" s="70" t="s">
        <v>480</v>
      </c>
      <c r="F40" s="70" t="s">
        <v>527</v>
      </c>
      <c r="G40" s="70">
        <v>1963</v>
      </c>
      <c r="I40" s="70" t="s">
        <v>473</v>
      </c>
      <c r="J40" s="70" t="s">
        <v>482</v>
      </c>
      <c r="K40" s="70" t="s">
        <v>16</v>
      </c>
    </row>
    <row r="41" spans="1:11">
      <c r="A41" s="70" t="s">
        <v>130</v>
      </c>
      <c r="B41" s="70">
        <v>15280</v>
      </c>
      <c r="C41" s="70" t="s">
        <v>491</v>
      </c>
      <c r="D41" s="70">
        <v>0.8</v>
      </c>
      <c r="E41" s="70" t="s">
        <v>480</v>
      </c>
      <c r="F41" s="70" t="s">
        <v>487</v>
      </c>
      <c r="G41" s="70">
        <v>1964</v>
      </c>
      <c r="I41" s="70" t="s">
        <v>473</v>
      </c>
      <c r="K41" s="70" t="s">
        <v>16</v>
      </c>
    </row>
    <row r="42" spans="1:11">
      <c r="A42" s="70" t="s">
        <v>144</v>
      </c>
      <c r="B42" s="70">
        <v>23725</v>
      </c>
      <c r="C42" s="70" t="s">
        <v>479</v>
      </c>
      <c r="D42" s="70">
        <v>0.45</v>
      </c>
      <c r="E42" s="70" t="s">
        <v>475</v>
      </c>
      <c r="F42" s="70" t="s">
        <v>487</v>
      </c>
      <c r="G42" s="70">
        <v>1992</v>
      </c>
      <c r="I42" s="70" t="s">
        <v>484</v>
      </c>
      <c r="K42" s="70" t="s">
        <v>16</v>
      </c>
    </row>
    <row r="43" spans="1:11">
      <c r="A43" s="70" t="s">
        <v>485</v>
      </c>
      <c r="B43" s="70">
        <v>32145</v>
      </c>
      <c r="C43" s="70" t="s">
        <v>486</v>
      </c>
      <c r="D43" s="70">
        <v>0.36</v>
      </c>
      <c r="E43" s="70" t="s">
        <v>475</v>
      </c>
      <c r="F43" s="70" t="s">
        <v>487</v>
      </c>
      <c r="G43" s="70">
        <v>1992</v>
      </c>
      <c r="I43" s="70" t="s">
        <v>484</v>
      </c>
      <c r="K43" s="70" t="s">
        <v>16</v>
      </c>
    </row>
    <row r="44" spans="1:11">
      <c r="A44" s="70" t="s">
        <v>299</v>
      </c>
      <c r="B44" s="70">
        <v>21475</v>
      </c>
      <c r="C44" s="70" t="s">
        <v>479</v>
      </c>
      <c r="D44" s="70">
        <v>0.3</v>
      </c>
      <c r="E44" s="70" t="s">
        <v>483</v>
      </c>
      <c r="F44" s="70" t="s">
        <v>487</v>
      </c>
      <c r="G44" s="70">
        <v>1992</v>
      </c>
      <c r="I44" s="70" t="s">
        <v>484</v>
      </c>
      <c r="J44" s="70" t="s">
        <v>478</v>
      </c>
      <c r="K44" s="70" t="s">
        <v>16</v>
      </c>
    </row>
    <row r="45" spans="1:11">
      <c r="A45" s="70" t="s">
        <v>309</v>
      </c>
      <c r="B45" s="70">
        <v>6410</v>
      </c>
      <c r="C45" s="70" t="s">
        <v>501</v>
      </c>
      <c r="D45" s="70">
        <v>0.25</v>
      </c>
      <c r="E45" s="70" t="s">
        <v>483</v>
      </c>
      <c r="F45" s="70" t="s">
        <v>487</v>
      </c>
      <c r="G45" s="70">
        <v>2007</v>
      </c>
      <c r="I45" s="70" t="s">
        <v>477</v>
      </c>
      <c r="J45" s="70" t="s">
        <v>478</v>
      </c>
      <c r="K45" s="70" t="s">
        <v>16</v>
      </c>
    </row>
    <row r="46" spans="1:11">
      <c r="A46" s="70" t="s">
        <v>363</v>
      </c>
      <c r="B46" s="70">
        <v>25735</v>
      </c>
      <c r="C46" s="70" t="s">
        <v>486</v>
      </c>
      <c r="D46" s="70">
        <v>0.61</v>
      </c>
      <c r="E46" s="70" t="s">
        <v>475</v>
      </c>
      <c r="F46" s="70" t="s">
        <v>487</v>
      </c>
      <c r="G46" s="70">
        <v>1903</v>
      </c>
      <c r="I46" s="70" t="s">
        <v>489</v>
      </c>
      <c r="J46" s="70" t="s">
        <v>482</v>
      </c>
      <c r="K46" s="70" t="s">
        <v>16</v>
      </c>
    </row>
    <row r="47" spans="1:11">
      <c r="A47" s="70" t="s">
        <v>98</v>
      </c>
      <c r="B47" s="70">
        <v>2360</v>
      </c>
      <c r="C47" s="70" t="s">
        <v>470</v>
      </c>
      <c r="D47" s="70" t="s">
        <v>471</v>
      </c>
      <c r="E47" s="70" t="s">
        <v>304</v>
      </c>
      <c r="F47" s="70" t="s">
        <v>476</v>
      </c>
      <c r="G47" s="70" t="s">
        <v>507</v>
      </c>
      <c r="H47" s="70" t="s">
        <v>514</v>
      </c>
      <c r="I47" s="70" t="s">
        <v>515</v>
      </c>
      <c r="K47" s="70" t="s">
        <v>16</v>
      </c>
    </row>
    <row r="48" spans="1:11">
      <c r="A48" s="70" t="s">
        <v>330</v>
      </c>
      <c r="B48" s="70">
        <v>36240</v>
      </c>
      <c r="C48" s="70" t="s">
        <v>486</v>
      </c>
      <c r="D48" s="70">
        <v>0.56999999999999995</v>
      </c>
      <c r="E48" s="70" t="s">
        <v>475</v>
      </c>
      <c r="F48" s="70" t="s">
        <v>476</v>
      </c>
      <c r="G48" s="70">
        <v>1451</v>
      </c>
      <c r="I48" s="70" t="s">
        <v>481</v>
      </c>
      <c r="J48" s="70" t="s">
        <v>482</v>
      </c>
      <c r="K48" s="70" t="s">
        <v>16</v>
      </c>
    </row>
    <row r="49" spans="1:11">
      <c r="A49" s="70" t="s">
        <v>533</v>
      </c>
      <c r="B49" s="70">
        <v>20970</v>
      </c>
      <c r="C49" s="70" t="s">
        <v>479</v>
      </c>
      <c r="D49" s="70">
        <v>0.65</v>
      </c>
      <c r="E49" s="70" t="s">
        <v>475</v>
      </c>
      <c r="F49" s="70" t="s">
        <v>476</v>
      </c>
      <c r="G49" s="70">
        <v>1964</v>
      </c>
      <c r="I49" s="70" t="s">
        <v>473</v>
      </c>
      <c r="K49" s="70" t="s">
        <v>16</v>
      </c>
    </row>
    <row r="50" spans="1:11">
      <c r="A50" s="70" t="s">
        <v>195</v>
      </c>
      <c r="B50" s="70">
        <v>83185</v>
      </c>
      <c r="C50" s="70" t="s">
        <v>486</v>
      </c>
      <c r="D50" s="70" t="s">
        <v>471</v>
      </c>
      <c r="E50" s="70" t="s">
        <v>304</v>
      </c>
      <c r="F50" s="70" t="s">
        <v>488</v>
      </c>
      <c r="G50" s="70">
        <v>1969</v>
      </c>
      <c r="I50" s="70" t="s">
        <v>473</v>
      </c>
      <c r="K50" s="70" t="s">
        <v>16</v>
      </c>
    </row>
    <row r="51" spans="1:11">
      <c r="A51" s="70" t="s">
        <v>266</v>
      </c>
      <c r="B51" s="70">
        <v>5450</v>
      </c>
      <c r="C51" s="70" t="s">
        <v>501</v>
      </c>
      <c r="D51" s="70">
        <v>0.11</v>
      </c>
      <c r="E51" s="70" t="s">
        <v>483</v>
      </c>
      <c r="F51" s="70" t="s">
        <v>488</v>
      </c>
      <c r="G51" s="70">
        <v>2008</v>
      </c>
      <c r="I51" s="70" t="s">
        <v>477</v>
      </c>
      <c r="J51" s="70" t="s">
        <v>478</v>
      </c>
      <c r="K51" s="70" t="s">
        <v>16</v>
      </c>
    </row>
    <row r="52" spans="1:11">
      <c r="A52" s="70" t="s">
        <v>306</v>
      </c>
      <c r="B52" s="70">
        <v>4820</v>
      </c>
      <c r="C52" s="70" t="s">
        <v>470</v>
      </c>
      <c r="D52" s="70">
        <v>0.36</v>
      </c>
      <c r="E52" s="70" t="s">
        <v>475</v>
      </c>
      <c r="F52" s="70" t="s">
        <v>488</v>
      </c>
      <c r="G52" s="70">
        <v>2005</v>
      </c>
      <c r="I52" s="70" t="s">
        <v>477</v>
      </c>
      <c r="K52" s="70" t="s">
        <v>16</v>
      </c>
    </row>
    <row r="53" spans="1:11">
      <c r="A53" s="70" t="s">
        <v>345</v>
      </c>
      <c r="B53" s="70">
        <v>15875</v>
      </c>
      <c r="C53" s="70" t="s">
        <v>491</v>
      </c>
      <c r="D53" s="70">
        <v>0.67</v>
      </c>
      <c r="E53" s="70" t="s">
        <v>480</v>
      </c>
      <c r="F53" s="70" t="s">
        <v>488</v>
      </c>
      <c r="G53" s="70">
        <v>1965</v>
      </c>
      <c r="I53" s="70" t="s">
        <v>473</v>
      </c>
      <c r="K53" s="70" t="s">
        <v>16</v>
      </c>
    </row>
    <row r="54" spans="1:11">
      <c r="A54" s="70" t="s">
        <v>393</v>
      </c>
      <c r="B54" s="70">
        <v>15500</v>
      </c>
      <c r="C54" s="70" t="s">
        <v>491</v>
      </c>
      <c r="D54" s="70">
        <v>0.63</v>
      </c>
      <c r="E54" s="70" t="s">
        <v>475</v>
      </c>
      <c r="F54" s="70" t="s">
        <v>488</v>
      </c>
      <c r="G54" s="70">
        <v>1926</v>
      </c>
      <c r="I54" s="70" t="s">
        <v>489</v>
      </c>
      <c r="K54" s="70" t="s">
        <v>16</v>
      </c>
    </row>
    <row r="55" spans="1:11">
      <c r="A55" s="70" t="s">
        <v>404</v>
      </c>
      <c r="B55" s="70">
        <v>23135</v>
      </c>
      <c r="C55" s="70" t="s">
        <v>479</v>
      </c>
      <c r="D55" s="70">
        <v>0.71</v>
      </c>
      <c r="E55" s="70" t="s">
        <v>480</v>
      </c>
      <c r="F55" s="70" t="s">
        <v>488</v>
      </c>
      <c r="G55" s="70">
        <v>1952</v>
      </c>
      <c r="I55" s="70" t="s">
        <v>489</v>
      </c>
      <c r="J55" s="70" t="s">
        <v>482</v>
      </c>
      <c r="K55" s="70" t="s">
        <v>16</v>
      </c>
    </row>
    <row r="56" spans="1:11">
      <c r="A56" s="70" t="s">
        <v>34</v>
      </c>
      <c r="B56" s="70">
        <v>7795</v>
      </c>
      <c r="C56" s="70" t="s">
        <v>501</v>
      </c>
      <c r="D56" s="70">
        <v>0.46</v>
      </c>
      <c r="E56" s="70" t="s">
        <v>475</v>
      </c>
      <c r="F56" s="70" t="s">
        <v>503</v>
      </c>
      <c r="G56" s="70">
        <v>2005</v>
      </c>
      <c r="I56" s="70" t="s">
        <v>477</v>
      </c>
      <c r="J56" s="70" t="s">
        <v>522</v>
      </c>
      <c r="K56" s="70" t="s">
        <v>16</v>
      </c>
    </row>
    <row r="57" spans="1:11">
      <c r="A57" s="70" t="s">
        <v>41</v>
      </c>
      <c r="B57" s="70">
        <v>14375</v>
      </c>
      <c r="C57" s="70" t="s">
        <v>493</v>
      </c>
      <c r="D57" s="70">
        <v>0.66</v>
      </c>
      <c r="E57" s="70" t="s">
        <v>475</v>
      </c>
      <c r="F57" s="70" t="s">
        <v>503</v>
      </c>
      <c r="G57" s="70">
        <v>1992</v>
      </c>
      <c r="I57" s="70" t="s">
        <v>484</v>
      </c>
      <c r="K57" s="70" t="s">
        <v>16</v>
      </c>
    </row>
    <row r="58" spans="1:11">
      <c r="A58" s="70" t="s">
        <v>91</v>
      </c>
      <c r="B58" s="70">
        <v>4800</v>
      </c>
      <c r="C58" s="70" t="s">
        <v>470</v>
      </c>
      <c r="D58" s="70">
        <v>0.2</v>
      </c>
      <c r="E58" s="70" t="s">
        <v>483</v>
      </c>
      <c r="F58" s="70" t="s">
        <v>503</v>
      </c>
      <c r="G58" s="70">
        <v>2012</v>
      </c>
      <c r="I58" s="70" t="s">
        <v>477</v>
      </c>
      <c r="J58" s="70" t="s">
        <v>513</v>
      </c>
      <c r="K58" s="70" t="s">
        <v>16</v>
      </c>
    </row>
    <row r="59" spans="1:11">
      <c r="A59" s="70" t="s">
        <v>510</v>
      </c>
      <c r="B59" s="70">
        <v>920</v>
      </c>
      <c r="C59" s="70" t="s">
        <v>470</v>
      </c>
      <c r="D59" s="70" t="s">
        <v>471</v>
      </c>
      <c r="E59" s="70" t="s">
        <v>304</v>
      </c>
      <c r="F59" s="70" t="s">
        <v>503</v>
      </c>
      <c r="G59" s="70">
        <v>2017</v>
      </c>
      <c r="I59" s="70" t="s">
        <v>477</v>
      </c>
      <c r="K59" s="70" t="s">
        <v>16</v>
      </c>
    </row>
    <row r="60" spans="1:11">
      <c r="A60" s="70" t="s">
        <v>63</v>
      </c>
      <c r="B60" s="70">
        <v>28930</v>
      </c>
      <c r="C60" s="70" t="s">
        <v>486</v>
      </c>
      <c r="D60" s="70">
        <v>0.59</v>
      </c>
      <c r="E60" s="70" t="s">
        <v>475</v>
      </c>
      <c r="F60" s="70" t="s">
        <v>494</v>
      </c>
      <c r="G60" s="70">
        <v>2005</v>
      </c>
      <c r="I60" s="70" t="s">
        <v>477</v>
      </c>
      <c r="J60" s="70" t="s">
        <v>482</v>
      </c>
      <c r="K60" s="70" t="s">
        <v>16</v>
      </c>
    </row>
    <row r="61" spans="1:11">
      <c r="A61" s="70" t="s">
        <v>541</v>
      </c>
      <c r="B61" s="70">
        <v>13850</v>
      </c>
      <c r="C61" s="70" t="s">
        <v>493</v>
      </c>
      <c r="D61" s="70">
        <v>0.52</v>
      </c>
      <c r="E61" s="70" t="s">
        <v>475</v>
      </c>
      <c r="F61" s="70" t="s">
        <v>490</v>
      </c>
      <c r="G61" s="70">
        <v>1966</v>
      </c>
      <c r="I61" s="70" t="s">
        <v>473</v>
      </c>
      <c r="K61" s="70" t="s">
        <v>16</v>
      </c>
    </row>
    <row r="62" spans="1:11">
      <c r="A62" s="70" t="s">
        <v>512</v>
      </c>
      <c r="B62" s="70">
        <v>2285</v>
      </c>
      <c r="C62" s="70" t="s">
        <v>470</v>
      </c>
      <c r="D62" s="70">
        <v>0.43</v>
      </c>
      <c r="E62" s="70" t="s">
        <v>475</v>
      </c>
      <c r="F62" s="70" t="s">
        <v>490</v>
      </c>
      <c r="G62" s="70">
        <v>2013</v>
      </c>
      <c r="I62" s="70" t="s">
        <v>477</v>
      </c>
      <c r="J62" s="70" t="s">
        <v>513</v>
      </c>
      <c r="K62" s="70" t="s">
        <v>16</v>
      </c>
    </row>
    <row r="63" spans="1:11">
      <c r="A63" s="70" t="s">
        <v>102</v>
      </c>
      <c r="B63" s="70">
        <v>2220</v>
      </c>
      <c r="C63" s="70" t="s">
        <v>470</v>
      </c>
      <c r="D63" s="70">
        <v>0.25</v>
      </c>
      <c r="E63" s="70" t="s">
        <v>483</v>
      </c>
      <c r="F63" s="70" t="s">
        <v>490</v>
      </c>
      <c r="G63" s="70">
        <v>2012</v>
      </c>
      <c r="I63" s="70" t="s">
        <v>477</v>
      </c>
      <c r="J63" s="70" t="s">
        <v>513</v>
      </c>
      <c r="K63" s="70" t="s">
        <v>16</v>
      </c>
    </row>
    <row r="64" spans="1:11">
      <c r="A64" s="70" t="s">
        <v>521</v>
      </c>
      <c r="B64" s="70">
        <v>11700</v>
      </c>
      <c r="C64" s="70" t="s">
        <v>493</v>
      </c>
      <c r="D64" s="70">
        <v>0.17</v>
      </c>
      <c r="E64" s="70" t="s">
        <v>483</v>
      </c>
      <c r="F64" s="70" t="s">
        <v>490</v>
      </c>
      <c r="G64" s="70">
        <v>1992</v>
      </c>
      <c r="I64" s="70" t="s">
        <v>484</v>
      </c>
      <c r="J64" s="70" t="s">
        <v>478</v>
      </c>
      <c r="K64" s="70" t="s">
        <v>16</v>
      </c>
    </row>
    <row r="65" spans="1:11">
      <c r="A65" s="70" t="s">
        <v>431</v>
      </c>
      <c r="B65" s="70">
        <v>25490</v>
      </c>
      <c r="C65" s="70" t="s">
        <v>486</v>
      </c>
      <c r="D65" s="70">
        <v>0.59</v>
      </c>
      <c r="E65" s="70" t="s">
        <v>475</v>
      </c>
      <c r="F65" s="70" t="s">
        <v>490</v>
      </c>
      <c r="G65" s="70">
        <v>1965</v>
      </c>
      <c r="I65" s="70" t="s">
        <v>473</v>
      </c>
      <c r="J65" s="70" t="s">
        <v>482</v>
      </c>
      <c r="K65" s="70" t="s">
        <v>16</v>
      </c>
    </row>
    <row r="66" spans="1:11">
      <c r="A66" s="70" t="s">
        <v>444</v>
      </c>
      <c r="B66" s="70">
        <v>7300</v>
      </c>
      <c r="C66" s="70" t="s">
        <v>501</v>
      </c>
      <c r="D66" s="70">
        <v>0.34</v>
      </c>
      <c r="E66" s="70" t="s">
        <v>475</v>
      </c>
      <c r="F66" s="70" t="s">
        <v>490</v>
      </c>
      <c r="G66" s="70">
        <v>2005</v>
      </c>
      <c r="I66" s="70" t="s">
        <v>477</v>
      </c>
      <c r="J66" s="70" t="s">
        <v>522</v>
      </c>
      <c r="K66" s="70" t="s">
        <v>16</v>
      </c>
    </row>
    <row r="67" spans="1:11">
      <c r="A67" s="70" t="s">
        <v>136</v>
      </c>
      <c r="B67" s="70">
        <v>2245</v>
      </c>
      <c r="C67" s="70" t="s">
        <v>470</v>
      </c>
      <c r="D67" s="70">
        <v>0.48</v>
      </c>
      <c r="E67" s="70" t="s">
        <v>475</v>
      </c>
      <c r="F67" s="70" t="s">
        <v>508</v>
      </c>
      <c r="G67" s="70">
        <v>2017</v>
      </c>
      <c r="I67" s="70" t="s">
        <v>477</v>
      </c>
      <c r="J67" s="70" t="s">
        <v>513</v>
      </c>
      <c r="K67" s="70" t="s">
        <v>16</v>
      </c>
    </row>
    <row r="68" spans="1:11">
      <c r="A68" s="70" t="s">
        <v>531</v>
      </c>
      <c r="B68" s="70">
        <v>19950</v>
      </c>
      <c r="C68" s="70" t="s">
        <v>491</v>
      </c>
      <c r="D68" s="70">
        <v>0.36</v>
      </c>
      <c r="E68" s="70" t="s">
        <v>475</v>
      </c>
      <c r="F68" s="70" t="s">
        <v>508</v>
      </c>
      <c r="G68" s="70">
        <v>1992</v>
      </c>
      <c r="I68" s="70" t="s">
        <v>484</v>
      </c>
      <c r="K68" s="70" t="s">
        <v>16</v>
      </c>
    </row>
    <row r="69" spans="1:11">
      <c r="A69" s="70" t="s">
        <v>519</v>
      </c>
      <c r="B69" s="70">
        <v>26060</v>
      </c>
      <c r="C69" s="70" t="s">
        <v>486</v>
      </c>
      <c r="D69" s="70">
        <v>0.28000000000000003</v>
      </c>
      <c r="E69" s="70" t="s">
        <v>483</v>
      </c>
      <c r="F69" s="70" t="s">
        <v>508</v>
      </c>
      <c r="G69" s="70">
        <v>1992</v>
      </c>
      <c r="I69" s="70" t="s">
        <v>484</v>
      </c>
      <c r="K69" s="70" t="s">
        <v>16</v>
      </c>
    </row>
    <row r="70" spans="1:11">
      <c r="A70" s="70" t="s">
        <v>341</v>
      </c>
      <c r="B70" s="70">
        <v>13685</v>
      </c>
      <c r="C70" s="70" t="s">
        <v>493</v>
      </c>
      <c r="D70" s="70">
        <v>0.47</v>
      </c>
      <c r="E70" s="70" t="s">
        <v>475</v>
      </c>
      <c r="F70" s="70" t="s">
        <v>508</v>
      </c>
      <c r="G70" s="70">
        <v>1992</v>
      </c>
      <c r="I70" s="70" t="s">
        <v>484</v>
      </c>
      <c r="K70" s="70" t="s">
        <v>16</v>
      </c>
    </row>
    <row r="71" spans="1:11">
      <c r="A71" s="70" t="s">
        <v>349</v>
      </c>
      <c r="B71" s="70">
        <v>35710</v>
      </c>
      <c r="C71" s="70" t="s">
        <v>486</v>
      </c>
      <c r="D71" s="70">
        <v>0.65</v>
      </c>
      <c r="E71" s="70" t="s">
        <v>475</v>
      </c>
      <c r="F71" s="70" t="s">
        <v>508</v>
      </c>
      <c r="G71" s="70">
        <v>1904</v>
      </c>
      <c r="I71" s="70" t="s">
        <v>489</v>
      </c>
      <c r="J71" s="70" t="s">
        <v>482</v>
      </c>
      <c r="K71" s="70" t="s">
        <v>16</v>
      </c>
    </row>
    <row r="72" spans="1:11">
      <c r="A72" s="70" t="s">
        <v>401</v>
      </c>
      <c r="B72" s="70">
        <v>28100</v>
      </c>
      <c r="C72" s="70" t="s">
        <v>486</v>
      </c>
      <c r="D72" s="70">
        <v>0.66</v>
      </c>
      <c r="E72" s="70" t="s">
        <v>475</v>
      </c>
      <c r="F72" s="70" t="s">
        <v>508</v>
      </c>
      <c r="G72" s="70">
        <v>1905</v>
      </c>
      <c r="I72" s="70" t="s">
        <v>489</v>
      </c>
      <c r="J72" s="70" t="s">
        <v>482</v>
      </c>
      <c r="K72" s="70" t="s">
        <v>16</v>
      </c>
    </row>
    <row r="73" spans="1:11">
      <c r="A73" s="70" t="s">
        <v>447</v>
      </c>
      <c r="B73" s="70">
        <v>20135</v>
      </c>
      <c r="C73" s="70" t="s">
        <v>479</v>
      </c>
      <c r="D73" s="70">
        <v>0.65</v>
      </c>
      <c r="E73" s="70" t="s">
        <v>475</v>
      </c>
      <c r="F73" s="70" t="s">
        <v>508</v>
      </c>
      <c r="G73" s="70">
        <v>1963</v>
      </c>
      <c r="I73" s="70" t="s">
        <v>473</v>
      </c>
      <c r="J73" s="70" t="s">
        <v>482</v>
      </c>
      <c r="K73" s="70" t="s">
        <v>16</v>
      </c>
    </row>
    <row r="74" spans="1:11">
      <c r="A74" s="70" t="s">
        <v>534</v>
      </c>
      <c r="B74" s="70">
        <v>6790</v>
      </c>
      <c r="C74" s="70" t="s">
        <v>501</v>
      </c>
      <c r="D74" s="70">
        <v>0.47</v>
      </c>
      <c r="E74" s="70" t="s">
        <v>475</v>
      </c>
      <c r="F74" s="70" t="s">
        <v>508</v>
      </c>
      <c r="G74" s="70">
        <v>2006</v>
      </c>
      <c r="I74" s="70" t="s">
        <v>477</v>
      </c>
      <c r="K74" s="70" t="s">
        <v>16</v>
      </c>
    </row>
    <row r="75" spans="1:11">
      <c r="A75" s="70" t="s">
        <v>282</v>
      </c>
      <c r="B75" s="70">
        <v>6485</v>
      </c>
      <c r="C75" s="70" t="s">
        <v>501</v>
      </c>
      <c r="D75" s="70">
        <v>0.2</v>
      </c>
      <c r="E75" s="70" t="s">
        <v>483</v>
      </c>
      <c r="F75" s="70" t="s">
        <v>487</v>
      </c>
      <c r="G75" s="70">
        <v>2005</v>
      </c>
      <c r="I75" s="70" t="s">
        <v>477</v>
      </c>
      <c r="J75" s="70" t="s">
        <v>478</v>
      </c>
      <c r="K75" s="70" t="s">
        <v>418</v>
      </c>
    </row>
    <row r="76" spans="1:11">
      <c r="A76" s="70" t="s">
        <v>417</v>
      </c>
      <c r="B76" s="70">
        <v>13520</v>
      </c>
      <c r="C76" s="70" t="s">
        <v>493</v>
      </c>
      <c r="D76" s="70">
        <v>0.62</v>
      </c>
      <c r="E76" s="70" t="s">
        <v>475</v>
      </c>
      <c r="F76" s="70" t="s">
        <v>488</v>
      </c>
      <c r="G76" s="70">
        <v>1966</v>
      </c>
      <c r="I76" s="70" t="s">
        <v>473</v>
      </c>
      <c r="K76" s="70" t="s">
        <v>418</v>
      </c>
    </row>
    <row r="77" spans="1:11">
      <c r="A77" s="70" t="s">
        <v>379</v>
      </c>
      <c r="B77" s="70">
        <v>22095</v>
      </c>
      <c r="C77" s="70" t="s">
        <v>479</v>
      </c>
      <c r="D77" s="70">
        <v>0.95</v>
      </c>
      <c r="E77" s="70" t="s">
        <v>480</v>
      </c>
      <c r="F77" s="70" t="s">
        <v>488</v>
      </c>
      <c r="G77" s="70">
        <v>1214</v>
      </c>
      <c r="I77" s="70" t="s">
        <v>481</v>
      </c>
      <c r="J77" s="70" t="s">
        <v>482</v>
      </c>
      <c r="K77" s="70" t="s">
        <v>109</v>
      </c>
    </row>
    <row r="78" spans="1:11">
      <c r="A78" s="70" t="s">
        <v>495</v>
      </c>
      <c r="B78" s="70">
        <v>16420</v>
      </c>
      <c r="C78" s="70" t="s">
        <v>491</v>
      </c>
      <c r="D78" s="70">
        <v>0.71</v>
      </c>
      <c r="E78" s="70" t="s">
        <v>480</v>
      </c>
      <c r="F78" s="70" t="s">
        <v>496</v>
      </c>
      <c r="G78" s="70">
        <v>1966</v>
      </c>
      <c r="I78" s="70" t="s">
        <v>473</v>
      </c>
      <c r="K78" s="70" t="s">
        <v>21</v>
      </c>
    </row>
    <row r="79" spans="1:11">
      <c r="A79" s="70" t="s">
        <v>355</v>
      </c>
      <c r="B79" s="70">
        <v>14825</v>
      </c>
      <c r="C79" s="70" t="s">
        <v>493</v>
      </c>
      <c r="D79" s="70">
        <v>0.63</v>
      </c>
      <c r="E79" s="70" t="s">
        <v>475</v>
      </c>
      <c r="F79" s="70" t="s">
        <v>496</v>
      </c>
      <c r="G79" s="70">
        <v>1958</v>
      </c>
      <c r="I79" s="70" t="s">
        <v>489</v>
      </c>
      <c r="K79" s="70" t="s">
        <v>21</v>
      </c>
    </row>
    <row r="80" spans="1:11">
      <c r="A80" s="70" t="s">
        <v>18</v>
      </c>
      <c r="B80" s="70">
        <v>18490</v>
      </c>
      <c r="C80" s="70" t="s">
        <v>491</v>
      </c>
      <c r="D80" s="70">
        <v>0.25</v>
      </c>
      <c r="E80" s="70" t="s">
        <v>483</v>
      </c>
      <c r="F80" s="70" t="s">
        <v>472</v>
      </c>
      <c r="G80" s="70">
        <v>1992</v>
      </c>
      <c r="I80" s="70" t="s">
        <v>484</v>
      </c>
      <c r="K80" s="70" t="s">
        <v>21</v>
      </c>
    </row>
    <row r="81" spans="1:11">
      <c r="A81" s="70" t="s">
        <v>420</v>
      </c>
      <c r="B81" s="70">
        <v>18250</v>
      </c>
      <c r="C81" s="70" t="s">
        <v>491</v>
      </c>
      <c r="D81" s="70">
        <v>0.69</v>
      </c>
      <c r="E81" s="70" t="s">
        <v>480</v>
      </c>
      <c r="F81" s="70" t="s">
        <v>488</v>
      </c>
      <c r="G81" s="70">
        <v>1961</v>
      </c>
      <c r="I81" s="70" t="s">
        <v>473</v>
      </c>
      <c r="K81" s="70" t="s">
        <v>21</v>
      </c>
    </row>
    <row r="82" spans="1:11">
      <c r="A82" s="70" t="s">
        <v>59</v>
      </c>
      <c r="B82" s="70">
        <v>10500</v>
      </c>
      <c r="C82" s="70" t="s">
        <v>493</v>
      </c>
      <c r="D82" s="70">
        <v>0.28000000000000003</v>
      </c>
      <c r="E82" s="70" t="s">
        <v>483</v>
      </c>
      <c r="F82" s="70" t="s">
        <v>494</v>
      </c>
      <c r="G82" s="70">
        <v>2011</v>
      </c>
      <c r="I82" s="70" t="s">
        <v>477</v>
      </c>
      <c r="K82" s="70" t="s">
        <v>21</v>
      </c>
    </row>
    <row r="83" spans="1:11">
      <c r="A83" s="70" t="s">
        <v>157</v>
      </c>
      <c r="B83" s="70">
        <v>14565</v>
      </c>
      <c r="C83" s="70" t="s">
        <v>493</v>
      </c>
      <c r="D83" s="70">
        <v>0.23</v>
      </c>
      <c r="E83" s="70" t="s">
        <v>483</v>
      </c>
      <c r="F83" s="70" t="s">
        <v>498</v>
      </c>
      <c r="G83" s="70">
        <v>1992</v>
      </c>
      <c r="I83" s="70" t="s">
        <v>484</v>
      </c>
      <c r="K83" s="70" t="s">
        <v>499</v>
      </c>
    </row>
    <row r="84" spans="1:11">
      <c r="A84" s="70" t="s">
        <v>169</v>
      </c>
      <c r="B84" s="70">
        <v>13875</v>
      </c>
      <c r="C84" s="70" t="s">
        <v>493</v>
      </c>
      <c r="D84" s="70">
        <v>0.45</v>
      </c>
      <c r="E84" s="70" t="s">
        <v>475</v>
      </c>
      <c r="F84" s="70" t="s">
        <v>498</v>
      </c>
      <c r="G84" s="70">
        <v>1993</v>
      </c>
      <c r="I84" s="70" t="s">
        <v>484</v>
      </c>
      <c r="K84" s="70" t="s">
        <v>499</v>
      </c>
    </row>
    <row r="85" spans="1:11">
      <c r="A85" s="70" t="s">
        <v>316</v>
      </c>
      <c r="B85" s="70">
        <v>14315</v>
      </c>
      <c r="C85" s="70" t="s">
        <v>493</v>
      </c>
      <c r="D85" s="70">
        <v>0.35</v>
      </c>
      <c r="E85" s="70" t="s">
        <v>475</v>
      </c>
      <c r="F85" s="70" t="s">
        <v>498</v>
      </c>
      <c r="G85" s="70">
        <v>1992</v>
      </c>
      <c r="I85" s="70" t="s">
        <v>484</v>
      </c>
      <c r="J85" s="70" t="s">
        <v>478</v>
      </c>
      <c r="K85" s="70" t="s">
        <v>499</v>
      </c>
    </row>
    <row r="86" spans="1:11">
      <c r="A86" s="70" t="s">
        <v>438</v>
      </c>
      <c r="B86" s="70">
        <v>18385</v>
      </c>
      <c r="C86" s="70" t="s">
        <v>491</v>
      </c>
      <c r="D86" s="70">
        <v>0.47</v>
      </c>
      <c r="E86" s="70" t="s">
        <v>475</v>
      </c>
      <c r="F86" s="70" t="s">
        <v>498</v>
      </c>
      <c r="G86" s="70">
        <v>1992</v>
      </c>
      <c r="I86" s="70" t="s">
        <v>484</v>
      </c>
      <c r="K86" s="70" t="s">
        <v>499</v>
      </c>
    </row>
    <row r="87" spans="1:11">
      <c r="A87" s="70" t="s">
        <v>523</v>
      </c>
      <c r="B87" s="70">
        <v>10450</v>
      </c>
      <c r="C87" s="70" t="s">
        <v>493</v>
      </c>
      <c r="D87" s="70">
        <v>0.32</v>
      </c>
      <c r="E87" s="70" t="s">
        <v>483</v>
      </c>
      <c r="F87" s="70" t="s">
        <v>488</v>
      </c>
      <c r="G87" s="70">
        <v>1995</v>
      </c>
      <c r="I87" s="70" t="s">
        <v>484</v>
      </c>
      <c r="J87" s="70" t="s">
        <v>478</v>
      </c>
      <c r="K87" s="70" t="s">
        <v>499</v>
      </c>
    </row>
    <row r="88" spans="1:11">
      <c r="A88" s="70" t="s">
        <v>198</v>
      </c>
      <c r="B88" s="70">
        <v>13040</v>
      </c>
      <c r="C88" s="70" t="s">
        <v>493</v>
      </c>
      <c r="D88" s="70">
        <v>0.39</v>
      </c>
      <c r="E88" s="70" t="s">
        <v>475</v>
      </c>
      <c r="F88" s="70" t="s">
        <v>488</v>
      </c>
      <c r="G88" s="70">
        <v>1992</v>
      </c>
      <c r="I88" s="70" t="s">
        <v>484</v>
      </c>
      <c r="K88" s="70" t="s">
        <v>500</v>
      </c>
    </row>
    <row r="89" spans="1:11">
      <c r="A89" s="70" t="s">
        <v>123</v>
      </c>
      <c r="B89" s="70">
        <v>35360</v>
      </c>
      <c r="C89" s="70" t="s">
        <v>486</v>
      </c>
      <c r="D89" s="70">
        <v>0.69</v>
      </c>
      <c r="E89" s="70" t="s">
        <v>480</v>
      </c>
      <c r="F89" s="70" t="s">
        <v>498</v>
      </c>
      <c r="G89" s="70" t="s">
        <v>507</v>
      </c>
      <c r="H89" s="70">
        <v>2006</v>
      </c>
      <c r="I89" s="70" t="s">
        <v>477</v>
      </c>
      <c r="J89" s="70" t="s">
        <v>482</v>
      </c>
      <c r="K89" s="70" t="s">
        <v>10</v>
      </c>
    </row>
    <row r="90" spans="1:11">
      <c r="A90" s="70" t="s">
        <v>396</v>
      </c>
      <c r="B90" s="70">
        <v>8700</v>
      </c>
      <c r="C90" s="70" t="s">
        <v>501</v>
      </c>
      <c r="D90" s="70">
        <v>0.44</v>
      </c>
      <c r="E90" s="70" t="s">
        <v>475</v>
      </c>
      <c r="F90" s="70" t="s">
        <v>498</v>
      </c>
      <c r="G90" s="70">
        <v>2004</v>
      </c>
      <c r="I90" s="70" t="s">
        <v>477</v>
      </c>
      <c r="K90" s="70" t="s">
        <v>10</v>
      </c>
    </row>
    <row r="91" spans="1:11">
      <c r="A91" s="70" t="s">
        <v>189</v>
      </c>
      <c r="B91" s="70">
        <v>23705</v>
      </c>
      <c r="C91" s="70" t="s">
        <v>479</v>
      </c>
      <c r="D91" s="70">
        <v>0.68</v>
      </c>
      <c r="E91" s="70" t="s">
        <v>480</v>
      </c>
      <c r="F91" s="70" t="s">
        <v>527</v>
      </c>
      <c r="G91" s="70">
        <v>1992</v>
      </c>
      <c r="I91" s="70" t="s">
        <v>484</v>
      </c>
      <c r="K91" s="70" t="s">
        <v>10</v>
      </c>
    </row>
    <row r="92" spans="1:11">
      <c r="A92" s="70" t="s">
        <v>257</v>
      </c>
      <c r="B92" s="70">
        <v>15860</v>
      </c>
      <c r="C92" s="70" t="s">
        <v>491</v>
      </c>
      <c r="D92" s="70">
        <v>0.32</v>
      </c>
      <c r="E92" s="70" t="s">
        <v>483</v>
      </c>
      <c r="F92" s="70" t="s">
        <v>527</v>
      </c>
      <c r="G92" s="70">
        <v>1992</v>
      </c>
      <c r="I92" s="70" t="s">
        <v>484</v>
      </c>
      <c r="K92" s="70" t="s">
        <v>10</v>
      </c>
    </row>
    <row r="93" spans="1:11">
      <c r="A93" s="70" t="s">
        <v>210</v>
      </c>
      <c r="B93" s="70">
        <v>21110</v>
      </c>
      <c r="C93" s="70" t="s">
        <v>479</v>
      </c>
      <c r="D93" s="70">
        <v>0.7</v>
      </c>
      <c r="E93" s="70" t="s">
        <v>480</v>
      </c>
      <c r="F93" s="70" t="s">
        <v>502</v>
      </c>
      <c r="G93" s="70">
        <v>1908</v>
      </c>
      <c r="I93" s="70" t="s">
        <v>489</v>
      </c>
      <c r="J93" s="70" t="s">
        <v>482</v>
      </c>
      <c r="K93" s="70" t="s">
        <v>10</v>
      </c>
    </row>
    <row r="94" spans="1:11">
      <c r="A94" s="70" t="s">
        <v>259</v>
      </c>
      <c r="B94" s="70">
        <v>18805</v>
      </c>
      <c r="C94" s="70" t="s">
        <v>491</v>
      </c>
      <c r="D94" s="70">
        <v>0.55000000000000004</v>
      </c>
      <c r="E94" s="70" t="s">
        <v>475</v>
      </c>
      <c r="F94" s="70" t="s">
        <v>502</v>
      </c>
      <c r="G94" s="70">
        <v>1969</v>
      </c>
      <c r="I94" s="70" t="s">
        <v>473</v>
      </c>
      <c r="K94" s="70" t="s">
        <v>10</v>
      </c>
    </row>
    <row r="95" spans="1:11">
      <c r="A95" s="70" t="s">
        <v>87</v>
      </c>
      <c r="B95" s="70">
        <v>11910</v>
      </c>
      <c r="C95" s="70" t="s">
        <v>493</v>
      </c>
      <c r="D95" s="70">
        <v>0.32</v>
      </c>
      <c r="E95" s="70" t="s">
        <v>483</v>
      </c>
      <c r="F95" s="70" t="s">
        <v>487</v>
      </c>
      <c r="G95" s="70">
        <v>2006</v>
      </c>
      <c r="I95" s="70" t="s">
        <v>477</v>
      </c>
      <c r="K95" s="70" t="s">
        <v>10</v>
      </c>
    </row>
    <row r="96" spans="1:11">
      <c r="A96" s="70" t="s">
        <v>369</v>
      </c>
      <c r="B96" s="70">
        <v>42160</v>
      </c>
      <c r="C96" s="70" t="s">
        <v>486</v>
      </c>
      <c r="D96" s="70">
        <v>0.66</v>
      </c>
      <c r="E96" s="70" t="s">
        <v>475</v>
      </c>
      <c r="F96" s="70" t="s">
        <v>487</v>
      </c>
      <c r="G96" s="70">
        <v>2004</v>
      </c>
      <c r="I96" s="70" t="s">
        <v>477</v>
      </c>
      <c r="J96" s="70" t="s">
        <v>482</v>
      </c>
      <c r="K96" s="70" t="s">
        <v>10</v>
      </c>
    </row>
    <row r="97" spans="1:11">
      <c r="A97" s="70" t="s">
        <v>9</v>
      </c>
      <c r="B97" s="70">
        <v>4055</v>
      </c>
      <c r="C97" s="70" t="s">
        <v>470</v>
      </c>
      <c r="D97" s="70">
        <v>0.64</v>
      </c>
      <c r="E97" s="70" t="s">
        <v>475</v>
      </c>
      <c r="F97" s="70" t="s">
        <v>476</v>
      </c>
      <c r="G97" s="70">
        <v>1994</v>
      </c>
      <c r="I97" s="70" t="s">
        <v>484</v>
      </c>
      <c r="J97" s="70" t="s">
        <v>478</v>
      </c>
      <c r="K97" s="70" t="s">
        <v>10</v>
      </c>
    </row>
    <row r="98" spans="1:11">
      <c r="A98" s="70" t="s">
        <v>96</v>
      </c>
      <c r="B98" s="70">
        <v>15255</v>
      </c>
      <c r="C98" s="70" t="s">
        <v>491</v>
      </c>
      <c r="D98" s="70">
        <v>0.31</v>
      </c>
      <c r="E98" s="70" t="s">
        <v>483</v>
      </c>
      <c r="F98" s="70" t="s">
        <v>476</v>
      </c>
      <c r="G98" s="70">
        <v>1993</v>
      </c>
      <c r="I98" s="70" t="s">
        <v>484</v>
      </c>
      <c r="K98" s="70" t="s">
        <v>10</v>
      </c>
    </row>
    <row r="99" spans="1:11">
      <c r="A99" s="70" t="s">
        <v>536</v>
      </c>
      <c r="B99" s="70">
        <v>1335</v>
      </c>
      <c r="C99" s="70" t="s">
        <v>470</v>
      </c>
      <c r="D99" s="70" t="s">
        <v>471</v>
      </c>
      <c r="E99" s="70" t="s">
        <v>304</v>
      </c>
      <c r="F99" s="70" t="s">
        <v>476</v>
      </c>
      <c r="G99" s="70" t="s">
        <v>507</v>
      </c>
      <c r="H99" s="70" t="s">
        <v>514</v>
      </c>
      <c r="I99" s="70" t="s">
        <v>515</v>
      </c>
      <c r="K99" s="70" t="s">
        <v>10</v>
      </c>
    </row>
    <row r="100" spans="1:11">
      <c r="A100" s="70" t="s">
        <v>311</v>
      </c>
      <c r="B100" s="70">
        <v>15145</v>
      </c>
      <c r="C100" s="70" t="s">
        <v>491</v>
      </c>
      <c r="D100" s="70">
        <v>0.41</v>
      </c>
      <c r="E100" s="70" t="s">
        <v>475</v>
      </c>
      <c r="F100" s="70" t="s">
        <v>476</v>
      </c>
      <c r="G100" s="70">
        <v>1967</v>
      </c>
      <c r="I100" s="70" t="s">
        <v>473</v>
      </c>
      <c r="K100" s="70" t="s">
        <v>10</v>
      </c>
    </row>
    <row r="101" spans="1:11">
      <c r="A101" s="70" t="s">
        <v>429</v>
      </c>
      <c r="B101" s="70">
        <v>14205</v>
      </c>
      <c r="C101" s="70" t="s">
        <v>493</v>
      </c>
      <c r="D101" s="70">
        <v>0.45</v>
      </c>
      <c r="E101" s="70" t="s">
        <v>475</v>
      </c>
      <c r="F101" s="70" t="s">
        <v>476</v>
      </c>
      <c r="G101" s="70">
        <v>1992</v>
      </c>
      <c r="I101" s="70" t="s">
        <v>484</v>
      </c>
      <c r="J101" s="70" t="s">
        <v>478</v>
      </c>
      <c r="K101" s="70" t="s">
        <v>10</v>
      </c>
    </row>
    <row r="102" spans="1:11">
      <c r="A102" s="70" t="s">
        <v>524</v>
      </c>
      <c r="B102" s="70">
        <v>11525</v>
      </c>
      <c r="C102" s="70" t="s">
        <v>493</v>
      </c>
      <c r="D102" s="70">
        <v>0.7</v>
      </c>
      <c r="E102" s="70" t="s">
        <v>480</v>
      </c>
      <c r="F102" s="70" t="s">
        <v>488</v>
      </c>
      <c r="G102" s="70">
        <v>2022</v>
      </c>
      <c r="I102" s="70" t="s">
        <v>477</v>
      </c>
      <c r="K102" s="70" t="s">
        <v>10</v>
      </c>
    </row>
    <row r="103" spans="1:11">
      <c r="A103" s="70" t="s">
        <v>526</v>
      </c>
      <c r="B103" s="70">
        <v>7420</v>
      </c>
      <c r="C103" s="70" t="s">
        <v>501</v>
      </c>
      <c r="D103" s="70">
        <v>0.25</v>
      </c>
      <c r="E103" s="70" t="s">
        <v>483</v>
      </c>
      <c r="F103" s="70" t="s">
        <v>488</v>
      </c>
      <c r="G103" s="70">
        <v>2005</v>
      </c>
      <c r="I103" s="70" t="s">
        <v>477</v>
      </c>
      <c r="J103" s="70" t="s">
        <v>478</v>
      </c>
      <c r="K103" s="70" t="s">
        <v>10</v>
      </c>
    </row>
    <row r="104" spans="1:11">
      <c r="A104" s="70" t="s">
        <v>287</v>
      </c>
      <c r="B104" s="70">
        <v>14725</v>
      </c>
      <c r="C104" s="70" t="s">
        <v>493</v>
      </c>
      <c r="D104" s="70">
        <v>0.4</v>
      </c>
      <c r="E104" s="70" t="s">
        <v>475</v>
      </c>
      <c r="F104" s="70" t="s">
        <v>488</v>
      </c>
      <c r="G104" s="70">
        <v>1992</v>
      </c>
      <c r="I104" s="70" t="s">
        <v>484</v>
      </c>
      <c r="K104" s="70" t="s">
        <v>10</v>
      </c>
    </row>
    <row r="105" spans="1:11">
      <c r="A105" s="70" t="s">
        <v>389</v>
      </c>
      <c r="B105" s="70">
        <v>22700</v>
      </c>
      <c r="C105" s="70" t="s">
        <v>479</v>
      </c>
      <c r="D105" s="70">
        <v>0.41</v>
      </c>
      <c r="E105" s="70" t="s">
        <v>475</v>
      </c>
      <c r="F105" s="70" t="s">
        <v>488</v>
      </c>
      <c r="G105" s="70">
        <v>1992</v>
      </c>
      <c r="I105" s="70" t="s">
        <v>484</v>
      </c>
      <c r="K105" s="70" t="s">
        <v>10</v>
      </c>
    </row>
    <row r="106" spans="1:11">
      <c r="A106" s="70" t="s">
        <v>440</v>
      </c>
      <c r="B106" s="70">
        <v>7435</v>
      </c>
      <c r="C106" s="70" t="s">
        <v>501</v>
      </c>
      <c r="D106" s="70">
        <v>0.38</v>
      </c>
      <c r="E106" s="70" t="s">
        <v>475</v>
      </c>
      <c r="F106" s="70" t="s">
        <v>488</v>
      </c>
      <c r="G106" s="70">
        <v>2005</v>
      </c>
      <c r="I106" s="70" t="s">
        <v>477</v>
      </c>
      <c r="J106" s="70" t="s">
        <v>513</v>
      </c>
      <c r="K106" s="70" t="s">
        <v>10</v>
      </c>
    </row>
    <row r="107" spans="1:11">
      <c r="A107" s="70" t="s">
        <v>272</v>
      </c>
      <c r="B107" s="70">
        <v>15200</v>
      </c>
      <c r="C107" s="70" t="s">
        <v>491</v>
      </c>
      <c r="D107" s="70">
        <v>0.73</v>
      </c>
      <c r="E107" s="70" t="s">
        <v>480</v>
      </c>
      <c r="F107" s="70" t="s">
        <v>503</v>
      </c>
      <c r="G107" s="70">
        <v>1966</v>
      </c>
      <c r="I107" s="70" t="s">
        <v>473</v>
      </c>
      <c r="K107" s="70" t="s">
        <v>10</v>
      </c>
    </row>
    <row r="108" spans="1:11">
      <c r="A108" s="70" t="s">
        <v>291</v>
      </c>
      <c r="B108" s="70">
        <v>28730</v>
      </c>
      <c r="C108" s="70" t="s">
        <v>486</v>
      </c>
      <c r="D108" s="70">
        <v>0.67</v>
      </c>
      <c r="E108" s="70" t="s">
        <v>480</v>
      </c>
      <c r="F108" s="70" t="s">
        <v>503</v>
      </c>
      <c r="G108" s="70">
        <v>1909</v>
      </c>
      <c r="I108" s="70" t="s">
        <v>489</v>
      </c>
      <c r="J108" s="70" t="s">
        <v>482</v>
      </c>
      <c r="K108" s="70" t="s">
        <v>10</v>
      </c>
    </row>
    <row r="109" spans="1:11">
      <c r="A109" s="70" t="s">
        <v>12</v>
      </c>
      <c r="B109" s="70">
        <v>6010</v>
      </c>
      <c r="C109" s="70" t="s">
        <v>501</v>
      </c>
      <c r="D109" s="70">
        <v>0.69</v>
      </c>
      <c r="E109" s="70" t="s">
        <v>480</v>
      </c>
      <c r="F109" s="70" t="s">
        <v>494</v>
      </c>
      <c r="G109" s="70">
        <v>2007</v>
      </c>
      <c r="I109" s="70" t="s">
        <v>477</v>
      </c>
      <c r="K109" s="70" t="s">
        <v>10</v>
      </c>
    </row>
    <row r="110" spans="1:11">
      <c r="A110" s="70" t="s">
        <v>70</v>
      </c>
      <c r="B110" s="70">
        <v>31065</v>
      </c>
      <c r="C110" s="70" t="s">
        <v>486</v>
      </c>
      <c r="D110" s="70">
        <v>0.23</v>
      </c>
      <c r="E110" s="70" t="s">
        <v>483</v>
      </c>
      <c r="F110" s="70" t="s">
        <v>490</v>
      </c>
      <c r="G110" s="70">
        <v>1992</v>
      </c>
      <c r="I110" s="70" t="s">
        <v>484</v>
      </c>
      <c r="K110" s="70" t="s">
        <v>10</v>
      </c>
    </row>
    <row r="111" spans="1:11">
      <c r="A111" s="70" t="s">
        <v>278</v>
      </c>
      <c r="B111" s="70">
        <v>32590</v>
      </c>
      <c r="C111" s="70" t="s">
        <v>486</v>
      </c>
      <c r="D111" s="70">
        <v>0.63</v>
      </c>
      <c r="E111" s="70" t="s">
        <v>475</v>
      </c>
      <c r="F111" s="70" t="s">
        <v>490</v>
      </c>
      <c r="G111" s="70">
        <v>1900</v>
      </c>
      <c r="I111" s="70" t="s">
        <v>489</v>
      </c>
      <c r="J111" s="70" t="s">
        <v>482</v>
      </c>
      <c r="K111" s="70" t="s">
        <v>10</v>
      </c>
    </row>
    <row r="112" spans="1:11">
      <c r="A112" s="70" t="s">
        <v>251</v>
      </c>
      <c r="B112" s="70">
        <v>18360</v>
      </c>
      <c r="C112" s="70" t="s">
        <v>491</v>
      </c>
      <c r="D112" s="70">
        <v>0.47</v>
      </c>
      <c r="E112" s="70" t="s">
        <v>475</v>
      </c>
      <c r="F112" s="70" t="s">
        <v>494</v>
      </c>
      <c r="G112" s="70">
        <v>2007</v>
      </c>
      <c r="I112" s="70" t="s">
        <v>477</v>
      </c>
      <c r="K112" s="70" t="s">
        <v>252</v>
      </c>
    </row>
    <row r="113" spans="1:11">
      <c r="A113" s="70" t="s">
        <v>375</v>
      </c>
      <c r="B113" s="70">
        <v>35030</v>
      </c>
      <c r="C113" s="70" t="s">
        <v>486</v>
      </c>
      <c r="D113" s="70">
        <v>0.68</v>
      </c>
      <c r="E113" s="70" t="s">
        <v>480</v>
      </c>
      <c r="F113" s="70" t="s">
        <v>496</v>
      </c>
      <c r="G113" s="70">
        <v>1948</v>
      </c>
      <c r="I113" s="70" t="s">
        <v>489</v>
      </c>
      <c r="J113" s="70" t="s">
        <v>482</v>
      </c>
      <c r="K113" s="70" t="s">
        <v>81</v>
      </c>
    </row>
    <row r="114" spans="1:11">
      <c r="A114" s="70" t="s">
        <v>80</v>
      </c>
      <c r="B114" s="70">
        <v>21065</v>
      </c>
      <c r="C114" s="70" t="s">
        <v>479</v>
      </c>
      <c r="D114" s="70">
        <v>0.7</v>
      </c>
      <c r="E114" s="70" t="s">
        <v>480</v>
      </c>
      <c r="F114" s="70" t="s">
        <v>527</v>
      </c>
      <c r="G114" s="70">
        <v>1832</v>
      </c>
      <c r="I114" s="70" t="s">
        <v>515</v>
      </c>
      <c r="J114" s="70" t="s">
        <v>482</v>
      </c>
      <c r="K114" s="70" t="s">
        <v>81</v>
      </c>
    </row>
    <row r="115" spans="1:11">
      <c r="A115" s="70" t="s">
        <v>398</v>
      </c>
      <c r="B115" s="70">
        <v>20825</v>
      </c>
      <c r="C115" s="70" t="s">
        <v>479</v>
      </c>
      <c r="D115" s="70">
        <v>0.27</v>
      </c>
      <c r="E115" s="70" t="s">
        <v>483</v>
      </c>
      <c r="F115" s="70" t="s">
        <v>487</v>
      </c>
      <c r="G115" s="70">
        <v>1967</v>
      </c>
      <c r="I115" s="70" t="s">
        <v>473</v>
      </c>
      <c r="K115" s="70" t="s">
        <v>81</v>
      </c>
    </row>
    <row r="116" spans="1:11">
      <c r="A116" s="70" t="s">
        <v>212</v>
      </c>
      <c r="B116" s="70">
        <v>10040</v>
      </c>
      <c r="C116" s="70" t="s">
        <v>493</v>
      </c>
      <c r="D116" s="70">
        <v>0.17</v>
      </c>
      <c r="E116" s="70" t="s">
        <v>483</v>
      </c>
      <c r="F116" s="70" t="s">
        <v>476</v>
      </c>
      <c r="G116" s="70">
        <v>1992</v>
      </c>
      <c r="I116" s="70" t="s">
        <v>484</v>
      </c>
      <c r="K116" s="70" t="s">
        <v>81</v>
      </c>
    </row>
    <row r="117" spans="1:11">
      <c r="A117" s="70" t="s">
        <v>424</v>
      </c>
      <c r="B117" s="70">
        <v>29680</v>
      </c>
      <c r="C117" s="70" t="s">
        <v>486</v>
      </c>
      <c r="D117" s="70">
        <v>0.25</v>
      </c>
      <c r="E117" s="70" t="s">
        <v>483</v>
      </c>
      <c r="F117" s="70" t="s">
        <v>503</v>
      </c>
      <c r="G117" s="70">
        <v>1993</v>
      </c>
      <c r="I117" s="70" t="s">
        <v>484</v>
      </c>
      <c r="K117" s="70" t="s">
        <v>81</v>
      </c>
    </row>
    <row r="118" spans="1:11">
      <c r="A118" s="70" t="s">
        <v>119</v>
      </c>
      <c r="B118" s="70">
        <v>9855</v>
      </c>
      <c r="C118" s="70" t="s">
        <v>501</v>
      </c>
      <c r="D118" s="70">
        <v>0.52</v>
      </c>
      <c r="E118" s="70" t="s">
        <v>475</v>
      </c>
      <c r="F118" s="70" t="s">
        <v>490</v>
      </c>
      <c r="G118" s="70">
        <v>1962</v>
      </c>
      <c r="I118" s="70" t="s">
        <v>473</v>
      </c>
      <c r="K118" s="70" t="s">
        <v>81</v>
      </c>
    </row>
    <row r="119" spans="1:11">
      <c r="A119" s="70" t="s">
        <v>538</v>
      </c>
      <c r="B119" s="70">
        <v>12625</v>
      </c>
      <c r="C119" s="70" t="s">
        <v>493</v>
      </c>
      <c r="D119" s="70">
        <v>0.37</v>
      </c>
      <c r="E119" s="70" t="s">
        <v>475</v>
      </c>
      <c r="F119" s="70" t="s">
        <v>508</v>
      </c>
      <c r="G119" s="70">
        <v>1954</v>
      </c>
      <c r="I119" s="70" t="s">
        <v>489</v>
      </c>
      <c r="K119" s="70" t="s">
        <v>81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17939-888F-4D69-B768-E746A8108F07}">
  <dimension ref="A1:S132"/>
  <sheetViews>
    <sheetView zoomScale="90" zoomScaleNormal="90" workbookViewId="0"/>
  </sheetViews>
  <sheetFormatPr defaultColWidth="10.7109375" defaultRowHeight="25.5" customHeight="1"/>
  <cols>
    <col min="1" max="1" width="30.7109375" style="71" customWidth="1"/>
    <col min="2" max="2" width="23" style="71" customWidth="1"/>
    <col min="3" max="3" width="20.7109375" style="71" customWidth="1"/>
    <col min="4" max="4" width="26.28515625" style="71" customWidth="1"/>
    <col min="5" max="5" width="37.7109375" style="71" customWidth="1"/>
    <col min="6" max="6" width="20.7109375" style="71" customWidth="1"/>
    <col min="7" max="7" width="22.85546875" style="71" customWidth="1"/>
    <col min="8" max="8" width="25.140625" style="71" customWidth="1"/>
    <col min="9" max="9" width="20.7109375" style="71" customWidth="1"/>
    <col min="10" max="10" width="26.140625" style="71" customWidth="1"/>
    <col min="11" max="11" width="31.85546875" style="71" customWidth="1"/>
    <col min="12" max="12" width="26.5703125" style="71" customWidth="1"/>
    <col min="13" max="15" width="20.7109375" style="71" customWidth="1"/>
    <col min="16" max="16" width="32.7109375" style="71" customWidth="1"/>
    <col min="17" max="19" width="25.7109375" style="71" customWidth="1"/>
    <col min="20" max="16384" width="10.7109375" style="71"/>
  </cols>
  <sheetData>
    <row r="1" spans="1:13" s="72" customFormat="1" ht="25.5" customHeight="1">
      <c r="A1" s="76" t="s">
        <v>544</v>
      </c>
      <c r="F1" s="76" t="s">
        <v>545</v>
      </c>
      <c r="J1" s="76" t="s">
        <v>546</v>
      </c>
    </row>
    <row r="3" spans="1:13" ht="25.5" customHeight="1">
      <c r="A3" s="71" t="s">
        <v>547</v>
      </c>
      <c r="B3" s="75" t="s">
        <v>548</v>
      </c>
      <c r="C3" s="75" t="s">
        <v>549</v>
      </c>
      <c r="D3" s="75" t="s">
        <v>550</v>
      </c>
      <c r="F3" s="71" t="s">
        <v>547</v>
      </c>
      <c r="G3" s="71" t="s">
        <v>551</v>
      </c>
      <c r="H3" s="71" t="s">
        <v>552</v>
      </c>
      <c r="J3" s="78" t="s">
        <v>553</v>
      </c>
      <c r="K3" s="81" t="s">
        <v>548</v>
      </c>
      <c r="L3" s="82" t="s">
        <v>622</v>
      </c>
      <c r="M3" s="82" t="s">
        <v>623</v>
      </c>
    </row>
    <row r="4" spans="1:13" ht="25.5" customHeight="1">
      <c r="A4" s="71" t="s">
        <v>504</v>
      </c>
      <c r="B4" s="75">
        <f>COUNTIF(RevisedData[Repository Software],Table1[[#This Row],[Repository System]])</f>
        <v>1</v>
      </c>
      <c r="C4" s="75">
        <v>1</v>
      </c>
      <c r="D4" s="75">
        <f>Table1[[#This Row],[Total '#Instances]]-Table1[[#This Row],['#Instances for Universities*]]</f>
        <v>0</v>
      </c>
      <c r="F4" s="71" t="s">
        <v>504</v>
      </c>
      <c r="G4" s="71" t="s">
        <v>554</v>
      </c>
      <c r="H4" s="71" t="s">
        <v>555</v>
      </c>
      <c r="J4" s="71" t="s">
        <v>554</v>
      </c>
      <c r="K4" s="75">
        <f t="shared" ref="K4" si="0">1+2+2+7+6+23+7</f>
        <v>48</v>
      </c>
      <c r="L4" s="75">
        <f t="shared" ref="L4" si="1">48-2-1</f>
        <v>45</v>
      </c>
      <c r="M4" s="75">
        <v>3</v>
      </c>
    </row>
    <row r="5" spans="1:13" ht="25.5" customHeight="1">
      <c r="A5" s="71" t="s">
        <v>32</v>
      </c>
      <c r="B5" s="75">
        <f>COUNTIF(RevisedData[Repository Software],Table1[[#This Row],[Repository System]])</f>
        <v>20</v>
      </c>
      <c r="C5" s="75">
        <v>17</v>
      </c>
      <c r="D5" s="75">
        <f>Table1[[#This Row],[Total '#Instances]]-Table1[[#This Row],['#Instances for Universities*]]</f>
        <v>3</v>
      </c>
      <c r="F5" s="71" t="s">
        <v>418</v>
      </c>
      <c r="G5" s="71" t="s">
        <v>554</v>
      </c>
      <c r="H5" s="71" t="s">
        <v>556</v>
      </c>
      <c r="J5" s="71" t="s">
        <v>557</v>
      </c>
      <c r="K5" s="75">
        <f>20+2+59+1+2+1+1</f>
        <v>86</v>
      </c>
      <c r="L5" s="75">
        <f>86-3-6-2</f>
        <v>75</v>
      </c>
      <c r="M5" s="75">
        <v>11</v>
      </c>
    </row>
    <row r="6" spans="1:13" ht="25.5" customHeight="1">
      <c r="A6" s="71" t="s">
        <v>509</v>
      </c>
      <c r="B6" s="75">
        <f>COUNTIF(RevisedData[Repository Software],Table1[[#This Row],[Repository System]])</f>
        <v>2</v>
      </c>
      <c r="C6" s="75">
        <v>2</v>
      </c>
      <c r="D6" s="75">
        <f>Table1[[#This Row],[Total '#Instances]]-Table1[[#This Row],['#Instances for Universities*]]</f>
        <v>0</v>
      </c>
      <c r="F6" s="71" t="s">
        <v>21</v>
      </c>
      <c r="G6" s="71" t="s">
        <v>554</v>
      </c>
      <c r="H6" s="71" t="s">
        <v>558</v>
      </c>
    </row>
    <row r="7" spans="1:13" ht="25.5" customHeight="1">
      <c r="A7" s="71" t="s">
        <v>16</v>
      </c>
      <c r="B7" s="75">
        <f>COUNTIF(RevisedData[Repository Software],Table1[[#This Row],[Repository System]])</f>
        <v>59</v>
      </c>
      <c r="C7" s="75">
        <v>53</v>
      </c>
      <c r="D7" s="75">
        <f>Table1[[#This Row],[Total '#Instances]]-Table1[[#This Row],['#Instances for Universities*]]</f>
        <v>6</v>
      </c>
      <c r="F7" s="71" t="s">
        <v>499</v>
      </c>
      <c r="G7" s="71" t="s">
        <v>554</v>
      </c>
      <c r="H7" s="71" t="s">
        <v>559</v>
      </c>
    </row>
    <row r="8" spans="1:13" ht="25.5" customHeight="1">
      <c r="A8" s="71" t="s">
        <v>418</v>
      </c>
      <c r="B8" s="75">
        <f>COUNTIF(RevisedData[Repository Software],Table1[[#This Row],[Repository System]])</f>
        <v>2</v>
      </c>
      <c r="C8" s="75">
        <v>2</v>
      </c>
      <c r="D8" s="75">
        <f>Table1[[#This Row],[Total '#Instances]]-Table1[[#This Row],['#Instances for Universities*]]</f>
        <v>0</v>
      </c>
      <c r="F8" s="71" t="s">
        <v>10</v>
      </c>
      <c r="G8" s="71" t="s">
        <v>554</v>
      </c>
      <c r="H8" s="71" t="s">
        <v>560</v>
      </c>
    </row>
    <row r="9" spans="1:13" ht="25.5" customHeight="1">
      <c r="A9" s="71" t="s">
        <v>109</v>
      </c>
      <c r="B9" s="75">
        <f>COUNTIF(RevisedData[Repository Software],Table1[[#This Row],[Repository System]])</f>
        <v>1</v>
      </c>
      <c r="C9" s="75">
        <v>1</v>
      </c>
      <c r="D9" s="75">
        <f>Table1[[#This Row],[Total '#Instances]]-Table1[[#This Row],['#Instances for Universities*]]</f>
        <v>0</v>
      </c>
      <c r="F9" s="71" t="s">
        <v>81</v>
      </c>
      <c r="G9" s="71" t="s">
        <v>554</v>
      </c>
      <c r="H9" s="71" t="s">
        <v>81</v>
      </c>
    </row>
    <row r="10" spans="1:13" ht="25.5" customHeight="1">
      <c r="A10" s="71" t="s">
        <v>21</v>
      </c>
      <c r="B10" s="75">
        <f>COUNTIF(RevisedData[Repository Software],Table1[[#This Row],[Repository System]])</f>
        <v>7</v>
      </c>
      <c r="C10" s="75">
        <v>5</v>
      </c>
      <c r="D10" s="75">
        <f>Table1[[#This Row],[Total '#Instances]]-Table1[[#This Row],['#Instances for Universities*]]</f>
        <v>2</v>
      </c>
      <c r="F10" s="71" t="s">
        <v>32</v>
      </c>
      <c r="G10" s="71" t="s">
        <v>557</v>
      </c>
      <c r="H10" s="71" t="s">
        <v>561</v>
      </c>
    </row>
    <row r="11" spans="1:13" ht="25.5" customHeight="1">
      <c r="A11" s="71" t="s">
        <v>499</v>
      </c>
      <c r="B11" s="75">
        <f>COUNTIF(RevisedData[Repository Software],Table1[[#This Row],[Repository System]])</f>
        <v>6</v>
      </c>
      <c r="C11" s="75">
        <v>5</v>
      </c>
      <c r="D11" s="75">
        <f>Table1[[#This Row],[Total '#Instances]]-Table1[[#This Row],['#Instances for Universities*]]</f>
        <v>1</v>
      </c>
      <c r="F11" s="71" t="s">
        <v>16</v>
      </c>
      <c r="G11" s="71" t="s">
        <v>557</v>
      </c>
      <c r="H11" s="71" t="s">
        <v>404</v>
      </c>
    </row>
    <row r="12" spans="1:13" ht="25.5" customHeight="1">
      <c r="A12" s="71" t="s">
        <v>137</v>
      </c>
      <c r="B12" s="75">
        <f>COUNTIF(RevisedData[Repository Software],Table1[[#This Row],[Repository System]])</f>
        <v>2</v>
      </c>
      <c r="C12" s="75">
        <v>0</v>
      </c>
      <c r="D12" s="75">
        <f>Table1[[#This Row],[Total '#Instances]]-Table1[[#This Row],['#Instances for Universities*]]</f>
        <v>2</v>
      </c>
      <c r="F12" s="71" t="s">
        <v>109</v>
      </c>
      <c r="G12" s="71" t="s">
        <v>557</v>
      </c>
      <c r="H12" s="71" t="s">
        <v>561</v>
      </c>
    </row>
    <row r="13" spans="1:13" ht="25.5" customHeight="1">
      <c r="A13" s="71" t="s">
        <v>500</v>
      </c>
      <c r="B13" s="75">
        <f>COUNTIF(RevisedData[Repository Software],Table1[[#This Row],[Repository System]])</f>
        <v>1</v>
      </c>
      <c r="C13" s="75">
        <v>1</v>
      </c>
      <c r="D13" s="75">
        <f>Table1[[#This Row],[Total '#Instances]]-Table1[[#This Row],['#Instances for Universities*]]</f>
        <v>0</v>
      </c>
      <c r="F13" s="71" t="s">
        <v>137</v>
      </c>
      <c r="G13" s="71" t="s">
        <v>557</v>
      </c>
      <c r="H13" s="71" t="s">
        <v>562</v>
      </c>
    </row>
    <row r="14" spans="1:13" ht="25.5" customHeight="1">
      <c r="A14" s="71" t="s">
        <v>10</v>
      </c>
      <c r="B14" s="75">
        <f>COUNTIF(RevisedData[Repository Software],Table1[[#This Row],[Repository System]])</f>
        <v>23</v>
      </c>
      <c r="C14" s="75">
        <v>23</v>
      </c>
      <c r="D14" s="75">
        <f>Table1[[#This Row],[Total '#Instances]]-Table1[[#This Row],['#Instances for Universities*]]</f>
        <v>0</v>
      </c>
      <c r="F14" s="71" t="s">
        <v>500</v>
      </c>
      <c r="G14" s="71" t="s">
        <v>557</v>
      </c>
      <c r="H14" s="71" t="s">
        <v>563</v>
      </c>
    </row>
    <row r="15" spans="1:13" ht="25.5" customHeight="1">
      <c r="A15" s="71" t="s">
        <v>252</v>
      </c>
      <c r="B15" s="75">
        <f>COUNTIF(RevisedData[Repository Software],Table1[[#This Row],[Repository System]])</f>
        <v>1</v>
      </c>
      <c r="C15" s="75">
        <v>1</v>
      </c>
      <c r="D15" s="75">
        <f>Table1[[#This Row],[Total '#Instances]]-Table1[[#This Row],['#Instances for Universities*]]</f>
        <v>0</v>
      </c>
      <c r="F15" s="71" t="s">
        <v>252</v>
      </c>
      <c r="G15" s="71" t="s">
        <v>557</v>
      </c>
      <c r="H15" s="71" t="s">
        <v>564</v>
      </c>
    </row>
    <row r="16" spans="1:13" ht="25.5" customHeight="1">
      <c r="A16" s="71" t="s">
        <v>81</v>
      </c>
      <c r="B16" s="75">
        <f>COUNTIF(RevisedData[Repository Software],Table1[[#This Row],[Repository System]])</f>
        <v>7</v>
      </c>
      <c r="C16" s="75">
        <v>7</v>
      </c>
      <c r="D16" s="75">
        <f>Table1[[#This Row],[Total '#Instances]]-Table1[[#This Row],['#Instances for Universities*]]</f>
        <v>0</v>
      </c>
    </row>
    <row r="18" spans="1:19" ht="25.5" customHeight="1">
      <c r="A18" s="79" t="s">
        <v>565</v>
      </c>
      <c r="B18" s="80">
        <f>SUM(Table1[Total '#Instances])</f>
        <v>132</v>
      </c>
      <c r="C18" s="80">
        <f>SUM(Table1['#Instances for Universities*])</f>
        <v>118</v>
      </c>
      <c r="D18" s="80">
        <f>SUM(Table1['#Instances for Other Organisations])</f>
        <v>14</v>
      </c>
    </row>
    <row r="19" spans="1:19" ht="51" customHeight="1">
      <c r="B19" s="71" t="s">
        <v>566</v>
      </c>
      <c r="C19" s="71" t="s">
        <v>566</v>
      </c>
    </row>
    <row r="20" spans="1:19" ht="25.5" customHeight="1">
      <c r="C20" s="71" t="s">
        <v>567</v>
      </c>
    </row>
    <row r="21" spans="1:19" ht="25.5" customHeight="1">
      <c r="A21" s="74" t="s">
        <v>620</v>
      </c>
      <c r="B21" s="71">
        <f>13/132</f>
        <v>9.8484848484848481E-2</v>
      </c>
    </row>
    <row r="23" spans="1:19" s="72" customFormat="1" ht="25.5" customHeight="1">
      <c r="A23" s="76" t="s">
        <v>568</v>
      </c>
      <c r="F23" s="77" t="s">
        <v>579</v>
      </c>
      <c r="I23" s="77" t="s">
        <v>580</v>
      </c>
      <c r="M23" s="77" t="s">
        <v>581</v>
      </c>
      <c r="P23" s="77" t="s">
        <v>625</v>
      </c>
    </row>
    <row r="25" spans="1:19" ht="25.5" customHeight="1">
      <c r="A25" s="71" t="s">
        <v>569</v>
      </c>
      <c r="B25" s="75" t="s">
        <v>548</v>
      </c>
      <c r="C25" s="75" t="s">
        <v>549</v>
      </c>
      <c r="D25" s="75" t="s">
        <v>550</v>
      </c>
      <c r="F25" s="74" t="s">
        <v>547</v>
      </c>
      <c r="G25" s="82" t="s">
        <v>572</v>
      </c>
      <c r="I25" s="74" t="s">
        <v>573</v>
      </c>
      <c r="J25" s="82" t="s">
        <v>572</v>
      </c>
      <c r="K25" s="74" t="s">
        <v>574</v>
      </c>
      <c r="M25" s="74" t="s">
        <v>547</v>
      </c>
      <c r="N25" s="82" t="s">
        <v>572</v>
      </c>
      <c r="P25" s="74" t="s">
        <v>573</v>
      </c>
      <c r="Q25" s="74" t="s">
        <v>627</v>
      </c>
      <c r="R25" s="74" t="s">
        <v>629</v>
      </c>
      <c r="S25" s="74" t="s">
        <v>628</v>
      </c>
    </row>
    <row r="26" spans="1:19" ht="25.5" customHeight="1">
      <c r="A26" s="71" t="s">
        <v>505</v>
      </c>
      <c r="B26" s="75">
        <f>COUNTIF(RevisedData[Separate Data Repository?],Table4[[#This Row],[Does Institution Have Separate Data Repository?]])</f>
        <v>68</v>
      </c>
      <c r="C26" s="75">
        <v>55</v>
      </c>
      <c r="D26" s="75">
        <v>13</v>
      </c>
      <c r="F26" s="74" t="s">
        <v>32</v>
      </c>
      <c r="G26" s="75">
        <v>4</v>
      </c>
      <c r="I26" s="71" t="s">
        <v>32</v>
      </c>
      <c r="J26" s="75">
        <v>3</v>
      </c>
      <c r="K26" s="74" t="s">
        <v>575</v>
      </c>
      <c r="M26" s="74" t="s">
        <v>32</v>
      </c>
      <c r="N26" s="75">
        <v>3</v>
      </c>
      <c r="P26" s="74" t="s">
        <v>32</v>
      </c>
      <c r="Q26" s="71">
        <v>4</v>
      </c>
      <c r="R26" s="71">
        <v>3</v>
      </c>
      <c r="S26" s="71">
        <v>3</v>
      </c>
    </row>
    <row r="27" spans="1:19" ht="25.5" customHeight="1">
      <c r="A27" s="71" t="s">
        <v>474</v>
      </c>
      <c r="B27" s="75">
        <f>COUNTIF(RevisedData[Separate Data Repository?],Table4[[#This Row],[Does Institution Have Separate Data Repository?]])</f>
        <v>22</v>
      </c>
      <c r="C27" s="75">
        <v>22</v>
      </c>
      <c r="D27" s="75">
        <v>0</v>
      </c>
      <c r="F27" s="71" t="s">
        <v>16</v>
      </c>
      <c r="G27" s="75">
        <v>3</v>
      </c>
      <c r="I27" s="71" t="s">
        <v>16</v>
      </c>
      <c r="J27" s="75">
        <v>12</v>
      </c>
      <c r="K27" s="74" t="s">
        <v>576</v>
      </c>
      <c r="M27" s="74" t="s">
        <v>16</v>
      </c>
      <c r="N27" s="75">
        <v>13</v>
      </c>
      <c r="P27" s="74" t="s">
        <v>16</v>
      </c>
      <c r="Q27" s="71">
        <v>3</v>
      </c>
      <c r="R27" s="71">
        <v>13</v>
      </c>
      <c r="S27" s="71">
        <v>12</v>
      </c>
    </row>
    <row r="28" spans="1:19" ht="25.5" customHeight="1">
      <c r="A28" s="71" t="s">
        <v>570</v>
      </c>
      <c r="B28" s="75">
        <f>COUNTIF(RevisedData[Separate Data Repository?],Table4[[#This Row],[Does Institution Have Separate Data Repository?]])</f>
        <v>26</v>
      </c>
      <c r="C28" s="75">
        <v>26</v>
      </c>
      <c r="D28" s="75">
        <v>0</v>
      </c>
      <c r="F28" s="71" t="s">
        <v>109</v>
      </c>
      <c r="G28" s="75">
        <v>1</v>
      </c>
      <c r="I28" s="74" t="s">
        <v>499</v>
      </c>
      <c r="J28" s="75">
        <v>1</v>
      </c>
      <c r="K28" s="71" t="s">
        <v>21</v>
      </c>
      <c r="P28" s="74" t="s">
        <v>109</v>
      </c>
      <c r="Q28" s="71">
        <v>1</v>
      </c>
      <c r="R28" s="71">
        <v>0</v>
      </c>
      <c r="S28" s="71">
        <v>0</v>
      </c>
    </row>
    <row r="29" spans="1:19" ht="25.5" customHeight="1">
      <c r="A29" s="71" t="s">
        <v>571</v>
      </c>
      <c r="B29" s="75">
        <f>COUNTIF(RevisedData[Separate Data Repository?],Table4[[#This Row],[Does Institution Have Separate Data Repository?]])</f>
        <v>16</v>
      </c>
      <c r="C29" s="75">
        <v>15</v>
      </c>
      <c r="D29" s="75">
        <v>1</v>
      </c>
      <c r="F29" s="71" t="s">
        <v>21</v>
      </c>
      <c r="G29" s="75">
        <v>5</v>
      </c>
      <c r="I29" s="71" t="s">
        <v>10</v>
      </c>
      <c r="J29" s="75">
        <v>5</v>
      </c>
      <c r="K29" s="74" t="s">
        <v>577</v>
      </c>
      <c r="P29" s="74" t="s">
        <v>21</v>
      </c>
      <c r="Q29" s="71">
        <v>5</v>
      </c>
      <c r="R29" s="71">
        <v>0</v>
      </c>
      <c r="S29" s="71">
        <v>0</v>
      </c>
    </row>
    <row r="30" spans="1:19" ht="25.5" customHeight="1">
      <c r="F30" s="71" t="s">
        <v>499</v>
      </c>
      <c r="G30" s="75">
        <v>1</v>
      </c>
      <c r="I30" s="71" t="s">
        <v>252</v>
      </c>
      <c r="J30" s="75">
        <v>1</v>
      </c>
      <c r="K30" s="71" t="s">
        <v>255</v>
      </c>
      <c r="P30" s="74" t="s">
        <v>499</v>
      </c>
      <c r="Q30" s="71">
        <v>1</v>
      </c>
      <c r="R30" s="71">
        <v>0</v>
      </c>
      <c r="S30" s="71">
        <v>1</v>
      </c>
    </row>
    <row r="31" spans="1:19" ht="25.5" customHeight="1">
      <c r="C31" s="71" t="s">
        <v>567</v>
      </c>
      <c r="F31" s="71" t="s">
        <v>500</v>
      </c>
      <c r="G31" s="75">
        <v>1</v>
      </c>
      <c r="I31" s="71" t="s">
        <v>81</v>
      </c>
      <c r="J31" s="75">
        <v>4</v>
      </c>
      <c r="K31" s="74" t="s">
        <v>578</v>
      </c>
      <c r="P31" s="74" t="s">
        <v>500</v>
      </c>
      <c r="Q31" s="71">
        <v>1</v>
      </c>
      <c r="R31" s="71">
        <v>0</v>
      </c>
      <c r="S31" s="71">
        <v>0</v>
      </c>
    </row>
    <row r="32" spans="1:19" ht="25.5" customHeight="1">
      <c r="F32" s="71" t="s">
        <v>10</v>
      </c>
      <c r="G32" s="75">
        <v>6</v>
      </c>
      <c r="P32" s="74" t="s">
        <v>10</v>
      </c>
      <c r="Q32" s="71">
        <v>6</v>
      </c>
      <c r="R32" s="71">
        <v>0</v>
      </c>
      <c r="S32" s="71">
        <v>5</v>
      </c>
    </row>
    <row r="33" spans="1:19" ht="25.5" customHeight="1">
      <c r="A33"/>
      <c r="B33"/>
      <c r="C33"/>
      <c r="D33"/>
      <c r="F33" s="71" t="s">
        <v>81</v>
      </c>
      <c r="G33" s="75">
        <v>1</v>
      </c>
      <c r="P33" s="74" t="s">
        <v>252</v>
      </c>
      <c r="Q33" s="71">
        <v>0</v>
      </c>
      <c r="R33" s="71">
        <v>0</v>
      </c>
      <c r="S33" s="71">
        <v>1</v>
      </c>
    </row>
    <row r="34" spans="1:19" ht="25.5" customHeight="1">
      <c r="P34" s="74" t="s">
        <v>81</v>
      </c>
      <c r="Q34" s="71">
        <v>1</v>
      </c>
      <c r="R34" s="71">
        <v>0</v>
      </c>
      <c r="S34" s="71">
        <v>4</v>
      </c>
    </row>
    <row r="36" spans="1:19" ht="25.5" customHeight="1">
      <c r="A36" s="77" t="s">
        <v>594</v>
      </c>
      <c r="I36" s="77" t="s">
        <v>595</v>
      </c>
    </row>
    <row r="37" spans="1:19" ht="25.5" customHeight="1">
      <c r="A37" s="71" t="s">
        <v>567</v>
      </c>
      <c r="I37" s="71" t="s">
        <v>567</v>
      </c>
      <c r="J37" s="71" t="s">
        <v>596</v>
      </c>
    </row>
    <row r="38" spans="1:19" ht="25.5" customHeight="1">
      <c r="A38" s="74" t="s">
        <v>547</v>
      </c>
      <c r="B38" s="82" t="s">
        <v>582</v>
      </c>
      <c r="C38" s="82" t="s">
        <v>583</v>
      </c>
      <c r="D38" s="82" t="s">
        <v>584</v>
      </c>
      <c r="E38" s="82" t="s">
        <v>585</v>
      </c>
      <c r="F38" s="82" t="s">
        <v>587</v>
      </c>
      <c r="G38" s="82" t="s">
        <v>588</v>
      </c>
      <c r="I38" s="71" t="s">
        <v>547</v>
      </c>
      <c r="J38" s="74" t="s">
        <v>589</v>
      </c>
      <c r="K38" s="74" t="s">
        <v>590</v>
      </c>
      <c r="L38" s="74" t="s">
        <v>591</v>
      </c>
    </row>
    <row r="39" spans="1:19" ht="25.5" customHeight="1">
      <c r="A39" s="71" t="s">
        <v>504</v>
      </c>
      <c r="B39" s="75">
        <v>0</v>
      </c>
      <c r="C39" s="75">
        <v>0</v>
      </c>
      <c r="D39" s="75">
        <v>0</v>
      </c>
      <c r="E39" s="75">
        <v>1</v>
      </c>
      <c r="F39" s="75">
        <v>0</v>
      </c>
      <c r="G39" s="75">
        <v>0</v>
      </c>
      <c r="I39" s="71" t="s">
        <v>504</v>
      </c>
      <c r="J39" s="75">
        <v>0</v>
      </c>
      <c r="K39" s="75">
        <v>1</v>
      </c>
      <c r="L39" s="75">
        <v>0</v>
      </c>
    </row>
    <row r="40" spans="1:19" ht="25.5" customHeight="1">
      <c r="A40" s="71" t="s">
        <v>32</v>
      </c>
      <c r="B40" s="75">
        <v>2</v>
      </c>
      <c r="C40" s="75">
        <v>1</v>
      </c>
      <c r="D40" s="75">
        <v>8</v>
      </c>
      <c r="E40" s="75">
        <v>0</v>
      </c>
      <c r="F40" s="75">
        <v>4</v>
      </c>
      <c r="G40" s="75">
        <v>2</v>
      </c>
      <c r="I40" s="71" t="s">
        <v>32</v>
      </c>
      <c r="J40" s="75">
        <v>2</v>
      </c>
      <c r="K40" s="75">
        <v>7</v>
      </c>
      <c r="L40" s="75">
        <v>7</v>
      </c>
    </row>
    <row r="41" spans="1:19" ht="25.5" customHeight="1">
      <c r="A41" s="71" t="s">
        <v>509</v>
      </c>
      <c r="B41" s="75">
        <v>0</v>
      </c>
      <c r="C41" s="75">
        <v>0</v>
      </c>
      <c r="D41" s="75">
        <v>1</v>
      </c>
      <c r="E41" s="75">
        <v>0</v>
      </c>
      <c r="F41" s="75">
        <v>0</v>
      </c>
      <c r="G41" s="75">
        <v>1</v>
      </c>
      <c r="I41" s="71" t="s">
        <v>509</v>
      </c>
      <c r="J41" s="75">
        <v>0</v>
      </c>
      <c r="K41" s="75">
        <v>0</v>
      </c>
      <c r="L41" s="75">
        <v>2</v>
      </c>
    </row>
    <row r="42" spans="1:19" ht="25.5" customHeight="1">
      <c r="A42" s="71" t="s">
        <v>16</v>
      </c>
      <c r="B42" s="75">
        <v>11</v>
      </c>
      <c r="C42" s="75">
        <v>8</v>
      </c>
      <c r="D42" s="75">
        <v>9</v>
      </c>
      <c r="E42" s="75">
        <v>9</v>
      </c>
      <c r="F42" s="75">
        <v>6</v>
      </c>
      <c r="G42" s="75">
        <v>10</v>
      </c>
      <c r="I42" s="71" t="s">
        <v>16</v>
      </c>
      <c r="J42" s="75">
        <v>11</v>
      </c>
      <c r="K42" s="75">
        <v>32</v>
      </c>
      <c r="L42" s="75">
        <v>5</v>
      </c>
    </row>
    <row r="43" spans="1:19" ht="25.5" customHeight="1">
      <c r="A43" s="71" t="s">
        <v>418</v>
      </c>
      <c r="B43" s="75">
        <v>0</v>
      </c>
      <c r="C43" s="75">
        <v>1</v>
      </c>
      <c r="D43" s="75">
        <v>1</v>
      </c>
      <c r="E43" s="75">
        <v>0</v>
      </c>
      <c r="F43" s="75">
        <v>0</v>
      </c>
      <c r="G43" s="75">
        <v>0</v>
      </c>
      <c r="I43" s="71" t="s">
        <v>418</v>
      </c>
      <c r="J43" s="75">
        <v>1</v>
      </c>
      <c r="K43" s="75">
        <v>1</v>
      </c>
      <c r="L43" s="75">
        <v>0</v>
      </c>
    </row>
    <row r="44" spans="1:19" ht="25.5" customHeight="1">
      <c r="A44" s="71" t="s">
        <v>109</v>
      </c>
      <c r="B44" s="75">
        <v>0</v>
      </c>
      <c r="C44" s="75">
        <v>0</v>
      </c>
      <c r="D44" s="75">
        <v>0</v>
      </c>
      <c r="E44" s="75">
        <v>0</v>
      </c>
      <c r="F44" s="75">
        <v>1</v>
      </c>
      <c r="G44" s="75">
        <v>0</v>
      </c>
      <c r="I44" s="71" t="s">
        <v>109</v>
      </c>
      <c r="J44" s="75">
        <v>0</v>
      </c>
      <c r="K44" s="75">
        <v>0</v>
      </c>
      <c r="L44" s="75">
        <v>1</v>
      </c>
    </row>
    <row r="45" spans="1:19" ht="25.5" customHeight="1">
      <c r="A45" s="71" t="s">
        <v>21</v>
      </c>
      <c r="B45" s="75">
        <v>0</v>
      </c>
      <c r="C45" s="75">
        <v>0</v>
      </c>
      <c r="D45" s="75">
        <v>2</v>
      </c>
      <c r="E45" s="75">
        <v>3</v>
      </c>
      <c r="F45" s="75">
        <v>0</v>
      </c>
      <c r="G45" s="75">
        <v>0</v>
      </c>
      <c r="I45" s="71" t="s">
        <v>21</v>
      </c>
      <c r="J45" s="75">
        <v>2</v>
      </c>
      <c r="K45" s="75">
        <v>1</v>
      </c>
      <c r="L45" s="75">
        <v>2</v>
      </c>
    </row>
    <row r="46" spans="1:19" ht="25.5" customHeight="1">
      <c r="A46" s="71" t="s">
        <v>499</v>
      </c>
      <c r="B46" s="75">
        <v>0</v>
      </c>
      <c r="C46" s="75">
        <v>0</v>
      </c>
      <c r="D46" s="75">
        <v>4</v>
      </c>
      <c r="E46" s="75">
        <v>1</v>
      </c>
      <c r="F46" s="75">
        <v>0</v>
      </c>
      <c r="G46" s="75">
        <v>0</v>
      </c>
      <c r="I46" s="71" t="s">
        <v>499</v>
      </c>
      <c r="J46" s="75">
        <v>2</v>
      </c>
      <c r="K46" s="75">
        <v>3</v>
      </c>
      <c r="L46" s="75">
        <v>0</v>
      </c>
    </row>
    <row r="47" spans="1:19" ht="25.5" customHeight="1">
      <c r="A47" s="71" t="s">
        <v>500</v>
      </c>
      <c r="B47" s="75">
        <v>0</v>
      </c>
      <c r="C47" s="75">
        <v>0</v>
      </c>
      <c r="D47" s="75">
        <v>1</v>
      </c>
      <c r="E47" s="75">
        <v>0</v>
      </c>
      <c r="F47" s="75">
        <v>0</v>
      </c>
      <c r="G47" s="75">
        <v>0</v>
      </c>
      <c r="I47" s="71" t="s">
        <v>500</v>
      </c>
      <c r="J47" s="75">
        <v>0</v>
      </c>
      <c r="K47" s="75">
        <v>1</v>
      </c>
      <c r="L47" s="75">
        <v>0</v>
      </c>
    </row>
    <row r="48" spans="1:19" ht="25.5" customHeight="1">
      <c r="A48" s="71" t="s">
        <v>10</v>
      </c>
      <c r="B48" s="75">
        <v>2</v>
      </c>
      <c r="C48" s="75">
        <v>4</v>
      </c>
      <c r="D48" s="75">
        <v>4</v>
      </c>
      <c r="E48" s="75">
        <v>5</v>
      </c>
      <c r="F48" s="75">
        <v>3</v>
      </c>
      <c r="G48" s="75">
        <v>5</v>
      </c>
      <c r="I48" s="71" t="s">
        <v>10</v>
      </c>
      <c r="J48" s="75">
        <v>5</v>
      </c>
      <c r="K48" s="75">
        <v>10</v>
      </c>
      <c r="L48" s="75">
        <v>7</v>
      </c>
    </row>
    <row r="49" spans="1:13" ht="25.5" customHeight="1">
      <c r="A49" s="71" t="s">
        <v>252</v>
      </c>
      <c r="B49" s="75">
        <v>0</v>
      </c>
      <c r="C49" s="75">
        <v>0</v>
      </c>
      <c r="D49" s="75">
        <v>0</v>
      </c>
      <c r="E49" s="75">
        <v>1</v>
      </c>
      <c r="F49" s="75">
        <v>0</v>
      </c>
      <c r="G49" s="75">
        <v>0</v>
      </c>
      <c r="I49" s="71" t="s">
        <v>252</v>
      </c>
      <c r="J49" s="75">
        <v>0</v>
      </c>
      <c r="K49" s="75">
        <v>1</v>
      </c>
      <c r="L49" s="75">
        <v>0</v>
      </c>
    </row>
    <row r="50" spans="1:13" ht="25.5" customHeight="1">
      <c r="A50" s="71" t="s">
        <v>81</v>
      </c>
      <c r="B50" s="75">
        <v>0</v>
      </c>
      <c r="C50" s="75">
        <v>1</v>
      </c>
      <c r="D50" s="75">
        <v>2</v>
      </c>
      <c r="E50" s="75">
        <v>0</v>
      </c>
      <c r="F50" s="75">
        <v>2</v>
      </c>
      <c r="G50" s="75">
        <v>2</v>
      </c>
      <c r="I50" s="71" t="s">
        <v>81</v>
      </c>
      <c r="J50" s="75">
        <v>3</v>
      </c>
      <c r="K50" s="75">
        <v>2</v>
      </c>
      <c r="L50" s="75">
        <v>2</v>
      </c>
    </row>
    <row r="52" spans="1:13" ht="25.5" customHeight="1">
      <c r="A52" s="83" t="s">
        <v>565</v>
      </c>
      <c r="B52" s="87">
        <f>SUM(Table8['#Instances (Very Small i.e. &lt; 5,000)])</f>
        <v>15</v>
      </c>
      <c r="C52" s="87">
        <f>SUM(Table8['#Instances (Small i.e. 5,000 - 9,999)])</f>
        <v>15</v>
      </c>
      <c r="D52" s="87">
        <f>SUM(Table8['#Instances (Low Medium i.e. 10,000 - 14,999)])</f>
        <v>32</v>
      </c>
      <c r="E52" s="87">
        <f>SUM(Table8['#Instances (High Medium i.e. 15,000 - 19,999)])</f>
        <v>20</v>
      </c>
      <c r="F52" s="87">
        <f>SUM(Table8['#Instances (Large i.e. 20,000 - 24,999)])</f>
        <v>16</v>
      </c>
      <c r="G52" s="87">
        <f>SUM(Table8['#Instances (Very Large i.e. &gt; 24,999)])</f>
        <v>20</v>
      </c>
      <c r="I52" s="84" t="s">
        <v>565</v>
      </c>
      <c r="J52" s="87">
        <f>SUM(Table9['#Instances (Low i.e. &lt; 0.34)])</f>
        <v>26</v>
      </c>
      <c r="K52" s="87">
        <f>SUM(Table9['#Instances (Middle i.e. 0.34 - 0.66)])</f>
        <v>59</v>
      </c>
      <c r="L52" s="87">
        <f>SUM(Table9['#Instances (High i.e. &gt; 0.67)])</f>
        <v>26</v>
      </c>
    </row>
    <row r="53" spans="1:13" ht="25.5" customHeight="1">
      <c r="B53" s="75"/>
      <c r="C53" s="75"/>
      <c r="D53" s="75"/>
      <c r="E53" s="75"/>
      <c r="F53" s="75"/>
      <c r="G53" s="75"/>
      <c r="J53" s="75"/>
      <c r="K53" s="75"/>
      <c r="L53" s="75"/>
    </row>
    <row r="54" spans="1:13" ht="25.5" customHeight="1">
      <c r="A54" s="85" t="s">
        <v>586</v>
      </c>
      <c r="B54" s="88">
        <f>COUNTIF(Table8['#Instances (Very Small i.e. &lt; 5,000)],"&gt;0")</f>
        <v>3</v>
      </c>
      <c r="C54" s="88">
        <f>COUNTIF(Table8['#Instances (Small i.e. 5,000 - 9,999)],"&gt;0")</f>
        <v>5</v>
      </c>
      <c r="D54" s="88">
        <f>COUNTIF(Table8['#Instances (Low Medium i.e. 10,000 - 14,999)],"&gt;0")</f>
        <v>9</v>
      </c>
      <c r="E54" s="88">
        <f>COUNTIF(Table8['#Instances (High Medium i.e. 15,000 - 19,999)],"&gt;0")</f>
        <v>6</v>
      </c>
      <c r="F54" s="88">
        <f>COUNTIF(Table8['#Instances (Large i.e. 20,000 - 24,999)],"&gt;0")</f>
        <v>5</v>
      </c>
      <c r="G54" s="88">
        <f>COUNTIF(Table8['#Instances (Very Large i.e. &gt; 24,999)],"&gt;0")</f>
        <v>5</v>
      </c>
      <c r="I54" s="86" t="s">
        <v>586</v>
      </c>
      <c r="J54" s="88">
        <f>COUNTIF(Table9['#Instances (Low i.e. &lt; 0.34)],"&gt;0")</f>
        <v>7</v>
      </c>
      <c r="K54" s="88">
        <f>COUNTIF(Table9['#Instances (Middle i.e. 0.34 - 0.66)],"&gt;0")</f>
        <v>10</v>
      </c>
      <c r="L54" s="88">
        <f>COUNTIF(Table9['#Instances (High i.e. &gt; 0.67)],"&gt;0")</f>
        <v>7</v>
      </c>
    </row>
    <row r="55" spans="1:13" ht="25.5" customHeight="1">
      <c r="A55" s="74" t="s">
        <v>632</v>
      </c>
      <c r="B55" s="75">
        <f>B54/B52</f>
        <v>0.2</v>
      </c>
      <c r="C55" s="75">
        <f t="shared" ref="C55:G55" si="2">C54/C52</f>
        <v>0.33333333333333331</v>
      </c>
      <c r="D55" s="75">
        <f t="shared" si="2"/>
        <v>0.28125</v>
      </c>
      <c r="E55" s="75">
        <f t="shared" si="2"/>
        <v>0.3</v>
      </c>
      <c r="F55" s="75">
        <f t="shared" si="2"/>
        <v>0.3125</v>
      </c>
      <c r="G55" s="75">
        <f t="shared" si="2"/>
        <v>0.25</v>
      </c>
      <c r="I55" s="74" t="s">
        <v>631</v>
      </c>
      <c r="J55" s="75">
        <f>J54/J52</f>
        <v>0.26923076923076922</v>
      </c>
      <c r="K55" s="75">
        <f t="shared" ref="K55:L55" si="3">K54/K52</f>
        <v>0.16949152542372881</v>
      </c>
      <c r="L55" s="75">
        <f t="shared" si="3"/>
        <v>0.26923076923076922</v>
      </c>
    </row>
    <row r="56" spans="1:13" ht="25.5" customHeight="1">
      <c r="I56" s="73"/>
    </row>
    <row r="57" spans="1:13" ht="25.5" customHeight="1">
      <c r="A57" s="77" t="s">
        <v>597</v>
      </c>
      <c r="I57" s="77" t="s">
        <v>598</v>
      </c>
    </row>
    <row r="58" spans="1:13" ht="25.5" customHeight="1">
      <c r="A58" s="71" t="s">
        <v>567</v>
      </c>
      <c r="I58" s="71" t="s">
        <v>567</v>
      </c>
      <c r="J58" s="74" t="s">
        <v>599</v>
      </c>
    </row>
    <row r="59" spans="1:13" ht="25.5" customHeight="1">
      <c r="A59" s="71" t="s">
        <v>547</v>
      </c>
      <c r="B59" s="75" t="s">
        <v>481</v>
      </c>
      <c r="C59" s="75" t="s">
        <v>515</v>
      </c>
      <c r="D59" s="75" t="s">
        <v>489</v>
      </c>
      <c r="E59" s="75" t="s">
        <v>473</v>
      </c>
      <c r="F59" s="75" t="s">
        <v>484</v>
      </c>
      <c r="G59" s="75" t="s">
        <v>477</v>
      </c>
      <c r="I59" s="71" t="s">
        <v>547</v>
      </c>
      <c r="J59" s="82" t="s">
        <v>513</v>
      </c>
      <c r="K59" s="82" t="s">
        <v>592</v>
      </c>
      <c r="L59" s="82" t="s">
        <v>478</v>
      </c>
      <c r="M59" s="82" t="s">
        <v>593</v>
      </c>
    </row>
    <row r="60" spans="1:13" ht="25.5" customHeight="1">
      <c r="A60" s="71" t="s">
        <v>504</v>
      </c>
      <c r="B60" s="75">
        <v>0</v>
      </c>
      <c r="C60" s="75">
        <v>0</v>
      </c>
      <c r="D60" s="75">
        <v>0</v>
      </c>
      <c r="E60" s="75">
        <v>0</v>
      </c>
      <c r="F60" s="75">
        <v>1</v>
      </c>
      <c r="G60" s="75">
        <v>0</v>
      </c>
      <c r="I60" s="71" t="s">
        <v>504</v>
      </c>
      <c r="J60" s="75">
        <v>0</v>
      </c>
      <c r="K60" s="75">
        <v>0</v>
      </c>
      <c r="L60" s="75">
        <v>0</v>
      </c>
      <c r="M60" s="75">
        <v>0</v>
      </c>
    </row>
    <row r="61" spans="1:13" ht="25.5" customHeight="1">
      <c r="A61" s="71" t="s">
        <v>32</v>
      </c>
      <c r="B61" s="75">
        <v>2</v>
      </c>
      <c r="C61" s="75">
        <v>0</v>
      </c>
      <c r="D61" s="75">
        <v>1</v>
      </c>
      <c r="E61" s="75">
        <v>5</v>
      </c>
      <c r="F61" s="75">
        <v>4</v>
      </c>
      <c r="G61" s="75">
        <v>5</v>
      </c>
      <c r="I61" s="71" t="s">
        <v>32</v>
      </c>
      <c r="J61" s="75">
        <v>0</v>
      </c>
      <c r="K61" s="75">
        <v>0</v>
      </c>
      <c r="L61" s="75">
        <v>3</v>
      </c>
      <c r="M61" s="75">
        <v>4</v>
      </c>
    </row>
    <row r="62" spans="1:13" ht="25.5" customHeight="1">
      <c r="A62" s="71" t="s">
        <v>509</v>
      </c>
      <c r="B62" s="75">
        <v>2</v>
      </c>
      <c r="C62" s="75">
        <v>0</v>
      </c>
      <c r="D62" s="75">
        <v>0</v>
      </c>
      <c r="E62" s="75">
        <v>0</v>
      </c>
      <c r="F62" s="75">
        <v>0</v>
      </c>
      <c r="G62" s="75">
        <v>0</v>
      </c>
      <c r="I62" s="71" t="s">
        <v>509</v>
      </c>
      <c r="J62" s="75">
        <v>0</v>
      </c>
      <c r="K62" s="75">
        <v>0</v>
      </c>
      <c r="L62" s="75">
        <v>0</v>
      </c>
      <c r="M62" s="75">
        <v>1</v>
      </c>
    </row>
    <row r="63" spans="1:13" ht="25.5" customHeight="1">
      <c r="A63" s="71" t="s">
        <v>16</v>
      </c>
      <c r="B63" s="75">
        <v>1</v>
      </c>
      <c r="C63" s="75">
        <v>2</v>
      </c>
      <c r="D63" s="75">
        <v>5</v>
      </c>
      <c r="E63" s="75">
        <v>12</v>
      </c>
      <c r="F63" s="75">
        <v>12</v>
      </c>
      <c r="G63" s="75">
        <v>21</v>
      </c>
      <c r="I63" s="71" t="s">
        <v>16</v>
      </c>
      <c r="J63" s="75">
        <v>6</v>
      </c>
      <c r="K63" s="75">
        <v>2</v>
      </c>
      <c r="L63" s="75">
        <v>4</v>
      </c>
      <c r="M63" s="75">
        <v>11</v>
      </c>
    </row>
    <row r="64" spans="1:13" ht="25.5" customHeight="1">
      <c r="A64" s="71" t="s">
        <v>418</v>
      </c>
      <c r="B64" s="75">
        <v>0</v>
      </c>
      <c r="C64" s="75">
        <v>0</v>
      </c>
      <c r="D64" s="75">
        <v>0</v>
      </c>
      <c r="E64" s="75">
        <v>1</v>
      </c>
      <c r="F64" s="75">
        <v>0</v>
      </c>
      <c r="G64" s="75">
        <v>1</v>
      </c>
      <c r="I64" s="71" t="s">
        <v>418</v>
      </c>
      <c r="J64" s="75">
        <v>0</v>
      </c>
      <c r="K64" s="75">
        <v>0</v>
      </c>
      <c r="L64" s="75">
        <v>1</v>
      </c>
      <c r="M64" s="75">
        <v>0</v>
      </c>
    </row>
    <row r="65" spans="1:13" ht="25.5" customHeight="1">
      <c r="A65" s="71" t="s">
        <v>109</v>
      </c>
      <c r="B65" s="75">
        <v>1</v>
      </c>
      <c r="C65" s="75">
        <v>0</v>
      </c>
      <c r="D65" s="75">
        <v>0</v>
      </c>
      <c r="E65" s="75">
        <v>0</v>
      </c>
      <c r="F65" s="75">
        <v>0</v>
      </c>
      <c r="G65" s="75">
        <v>0</v>
      </c>
      <c r="I65" s="71" t="s">
        <v>109</v>
      </c>
      <c r="J65" s="75">
        <v>0</v>
      </c>
      <c r="K65" s="75">
        <v>0</v>
      </c>
      <c r="L65" s="75">
        <v>0</v>
      </c>
      <c r="M65" s="75">
        <v>1</v>
      </c>
    </row>
    <row r="66" spans="1:13" ht="25.5" customHeight="1">
      <c r="A66" s="71" t="s">
        <v>21</v>
      </c>
      <c r="B66" s="75">
        <v>0</v>
      </c>
      <c r="C66" s="75">
        <v>0</v>
      </c>
      <c r="D66" s="75">
        <v>1</v>
      </c>
      <c r="E66" s="75">
        <v>2</v>
      </c>
      <c r="F66" s="75">
        <v>1</v>
      </c>
      <c r="G66" s="75">
        <v>1</v>
      </c>
      <c r="I66" s="71" t="s">
        <v>21</v>
      </c>
      <c r="J66" s="75">
        <v>0</v>
      </c>
      <c r="K66" s="75">
        <v>0</v>
      </c>
      <c r="L66" s="75">
        <v>0</v>
      </c>
      <c r="M66" s="75">
        <v>0</v>
      </c>
    </row>
    <row r="67" spans="1:13" ht="25.5" customHeight="1">
      <c r="A67" s="71" t="s">
        <v>499</v>
      </c>
      <c r="B67" s="75">
        <v>0</v>
      </c>
      <c r="C67" s="75">
        <v>0</v>
      </c>
      <c r="D67" s="75">
        <v>0</v>
      </c>
      <c r="E67" s="75">
        <v>0</v>
      </c>
      <c r="F67" s="75">
        <v>5</v>
      </c>
      <c r="G67" s="75">
        <v>0</v>
      </c>
      <c r="I67" s="71" t="s">
        <v>499</v>
      </c>
      <c r="J67" s="75">
        <v>0</v>
      </c>
      <c r="K67" s="75">
        <v>0</v>
      </c>
      <c r="L67" s="75">
        <v>2</v>
      </c>
      <c r="M67" s="75">
        <v>0</v>
      </c>
    </row>
    <row r="68" spans="1:13" ht="25.5" customHeight="1">
      <c r="A68" s="71" t="s">
        <v>500</v>
      </c>
      <c r="B68" s="75">
        <v>0</v>
      </c>
      <c r="C68" s="75">
        <v>0</v>
      </c>
      <c r="D68" s="75">
        <v>0</v>
      </c>
      <c r="E68" s="75">
        <v>0</v>
      </c>
      <c r="F68" s="75">
        <v>1</v>
      </c>
      <c r="G68" s="75">
        <v>0</v>
      </c>
      <c r="I68" s="71" t="s">
        <v>500</v>
      </c>
      <c r="J68" s="75">
        <v>0</v>
      </c>
      <c r="K68" s="75">
        <v>0</v>
      </c>
      <c r="L68" s="75">
        <v>0</v>
      </c>
      <c r="M68" s="75">
        <v>0</v>
      </c>
    </row>
    <row r="69" spans="1:13" ht="25.5" customHeight="1">
      <c r="A69" s="71" t="s">
        <v>10</v>
      </c>
      <c r="B69" s="75">
        <v>0</v>
      </c>
      <c r="C69" s="75">
        <v>1</v>
      </c>
      <c r="D69" s="75">
        <v>3</v>
      </c>
      <c r="E69" s="75">
        <v>3</v>
      </c>
      <c r="F69" s="75">
        <v>8</v>
      </c>
      <c r="G69" s="75">
        <v>8</v>
      </c>
      <c r="I69" s="71" t="s">
        <v>10</v>
      </c>
      <c r="J69" s="75">
        <v>1</v>
      </c>
      <c r="K69" s="75">
        <v>0</v>
      </c>
      <c r="L69" s="75">
        <v>3</v>
      </c>
      <c r="M69" s="75">
        <v>5</v>
      </c>
    </row>
    <row r="70" spans="1:13" ht="25.5" customHeight="1">
      <c r="A70" s="71" t="s">
        <v>252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v>1</v>
      </c>
      <c r="I70" s="71" t="s">
        <v>252</v>
      </c>
      <c r="J70" s="75">
        <v>0</v>
      </c>
      <c r="K70" s="75">
        <v>0</v>
      </c>
      <c r="L70" s="75">
        <v>0</v>
      </c>
      <c r="M70" s="75">
        <v>0</v>
      </c>
    </row>
    <row r="71" spans="1:13" ht="25.5" customHeight="1">
      <c r="A71" s="71" t="s">
        <v>81</v>
      </c>
      <c r="B71" s="75">
        <v>0</v>
      </c>
      <c r="C71" s="75">
        <v>1</v>
      </c>
      <c r="D71" s="75">
        <v>2</v>
      </c>
      <c r="E71" s="75">
        <v>2</v>
      </c>
      <c r="F71" s="75">
        <v>2</v>
      </c>
      <c r="G71" s="75">
        <v>0</v>
      </c>
      <c r="I71" s="71" t="s">
        <v>81</v>
      </c>
      <c r="J71" s="75">
        <v>0</v>
      </c>
      <c r="K71" s="75">
        <v>0</v>
      </c>
      <c r="L71" s="75">
        <v>0</v>
      </c>
      <c r="M71" s="75">
        <v>2</v>
      </c>
    </row>
    <row r="73" spans="1:13" ht="25.5" customHeight="1">
      <c r="A73" s="84" t="s">
        <v>565</v>
      </c>
      <c r="B73" s="87">
        <f>SUM(Table10[1 (Ancient)])</f>
        <v>6</v>
      </c>
      <c r="C73" s="87">
        <f>SUM(Table10[2 (18th/19th century)])</f>
        <v>4</v>
      </c>
      <c r="D73" s="87">
        <f>SUM(Table10[3 (1900-1959)])</f>
        <v>12</v>
      </c>
      <c r="E73" s="87">
        <f>SUM(Table10[4 (1960-1991)])</f>
        <v>25</v>
      </c>
      <c r="F73" s="87">
        <f>SUM(Table10[5 (1990s)])</f>
        <v>34</v>
      </c>
      <c r="G73" s="87">
        <f>SUM(Table10[6 (2000+)])</f>
        <v>37</v>
      </c>
      <c r="I73" s="84" t="s">
        <v>565</v>
      </c>
      <c r="J73" s="87">
        <f>SUM(Table11[GuildHE])</f>
        <v>7</v>
      </c>
      <c r="K73" s="87">
        <f>SUM(Table11[GuildHE AND MillionPlus])</f>
        <v>2</v>
      </c>
      <c r="L73" s="87">
        <f>SUM(Table11[MillionPlus])</f>
        <v>13</v>
      </c>
      <c r="M73" s="87">
        <f>SUM(Table11[Russell Group])</f>
        <v>24</v>
      </c>
    </row>
    <row r="74" spans="1:13" ht="25.5" customHeight="1">
      <c r="B74" s="75"/>
      <c r="C74" s="75"/>
      <c r="D74" s="75"/>
      <c r="E74" s="75"/>
      <c r="F74" s="75"/>
      <c r="G74" s="75"/>
      <c r="J74" s="75"/>
      <c r="K74" s="75"/>
      <c r="L74" s="75"/>
      <c r="M74" s="75"/>
    </row>
    <row r="75" spans="1:13" ht="25.5" customHeight="1">
      <c r="A75" s="86" t="s">
        <v>586</v>
      </c>
      <c r="B75" s="88">
        <f>COUNTIF(Table10[1 (Ancient)],"&gt;0")</f>
        <v>4</v>
      </c>
      <c r="C75" s="88">
        <f>COUNTIF(Table10[2 (18th/19th century)],"&gt;0")</f>
        <v>3</v>
      </c>
      <c r="D75" s="88">
        <f>COUNTIF(Table10[3 (1900-1959)],"&gt;0")</f>
        <v>5</v>
      </c>
      <c r="E75" s="88">
        <f>COUNTIF(Table10[4 (1960-1991)],"&gt;0")</f>
        <v>6</v>
      </c>
      <c r="F75" s="88">
        <f>COUNTIF(Table10[5 (1990s)],"&gt;0")</f>
        <v>8</v>
      </c>
      <c r="G75" s="88">
        <f>COUNTIF(Table10[6 (2000+)],"&gt;0")</f>
        <v>6</v>
      </c>
      <c r="I75" s="86" t="s">
        <v>586</v>
      </c>
      <c r="J75" s="88">
        <f>COUNTIF(Table11[GuildHE],"&gt;0")</f>
        <v>2</v>
      </c>
      <c r="K75" s="88">
        <f>COUNTIF(Table11[GuildHE AND MillionPlus],"&gt;0")</f>
        <v>1</v>
      </c>
      <c r="L75" s="88">
        <f>COUNTIF(Table11[MillionPlus],"&gt;0")</f>
        <v>5</v>
      </c>
      <c r="M75" s="88">
        <f>COUNTIF(Table11[Russell Group],"&gt;0")</f>
        <v>6</v>
      </c>
    </row>
    <row r="76" spans="1:13" ht="25.5" customHeight="1">
      <c r="A76" s="74" t="s">
        <v>631</v>
      </c>
      <c r="B76" s="75">
        <f>B75/B73</f>
        <v>0.66666666666666663</v>
      </c>
      <c r="C76" s="75">
        <f t="shared" ref="C76:G76" si="4">C75/C73</f>
        <v>0.75</v>
      </c>
      <c r="D76" s="75">
        <f t="shared" si="4"/>
        <v>0.41666666666666669</v>
      </c>
      <c r="E76" s="75">
        <f t="shared" si="4"/>
        <v>0.24</v>
      </c>
      <c r="F76" s="75">
        <f t="shared" si="4"/>
        <v>0.23529411764705882</v>
      </c>
      <c r="G76" s="75">
        <f t="shared" si="4"/>
        <v>0.16216216216216217</v>
      </c>
      <c r="I76" s="74" t="s">
        <v>631</v>
      </c>
      <c r="J76" s="75">
        <f>J75/J73</f>
        <v>0.2857142857142857</v>
      </c>
      <c r="K76" s="75">
        <f t="shared" ref="K76:M76" si="5">K75/K73</f>
        <v>0.5</v>
      </c>
      <c r="L76" s="75">
        <f t="shared" si="5"/>
        <v>0.38461538461538464</v>
      </c>
      <c r="M76" s="75">
        <f t="shared" si="5"/>
        <v>0.25</v>
      </c>
    </row>
    <row r="78" spans="1:13" ht="25.5" customHeight="1">
      <c r="A78" s="77" t="s">
        <v>600</v>
      </c>
    </row>
    <row r="79" spans="1:13" ht="25.5" customHeight="1">
      <c r="A79" s="71" t="s">
        <v>567</v>
      </c>
    </row>
    <row r="80" spans="1:13" ht="25.5" customHeight="1">
      <c r="A80" s="71" t="s">
        <v>547</v>
      </c>
      <c r="B80" s="75" t="s">
        <v>488</v>
      </c>
      <c r="C80" s="75" t="s">
        <v>498</v>
      </c>
      <c r="D80" s="75" t="s">
        <v>503</v>
      </c>
      <c r="E80" s="75" t="s">
        <v>472</v>
      </c>
      <c r="F80" s="75" t="s">
        <v>496</v>
      </c>
      <c r="G80" s="75" t="s">
        <v>490</v>
      </c>
      <c r="H80" s="75" t="s">
        <v>508</v>
      </c>
      <c r="I80" s="75" t="s">
        <v>527</v>
      </c>
      <c r="J80" s="75" t="s">
        <v>487</v>
      </c>
      <c r="K80" s="75" t="s">
        <v>502</v>
      </c>
      <c r="L80" s="75" t="s">
        <v>476</v>
      </c>
      <c r="M80" s="75" t="s">
        <v>494</v>
      </c>
    </row>
    <row r="81" spans="1:13" ht="25.5" customHeight="1">
      <c r="A81" s="71" t="s">
        <v>504</v>
      </c>
      <c r="B81" s="75">
        <v>0</v>
      </c>
      <c r="C81" s="75">
        <v>0</v>
      </c>
      <c r="D81" s="75">
        <v>1</v>
      </c>
      <c r="E81" s="75">
        <v>0</v>
      </c>
      <c r="F81" s="75">
        <v>0</v>
      </c>
      <c r="G81" s="75">
        <v>0</v>
      </c>
      <c r="H81" s="75">
        <v>0</v>
      </c>
      <c r="I81" s="75">
        <v>0</v>
      </c>
      <c r="J81" s="75">
        <v>0</v>
      </c>
      <c r="K81" s="75">
        <v>0</v>
      </c>
      <c r="L81" s="75">
        <v>0</v>
      </c>
      <c r="M81" s="75">
        <v>0</v>
      </c>
    </row>
    <row r="82" spans="1:13" ht="25.5" customHeight="1">
      <c r="A82" s="71" t="s">
        <v>32</v>
      </c>
      <c r="B82" s="75">
        <v>0</v>
      </c>
      <c r="C82" s="75">
        <v>3</v>
      </c>
      <c r="D82" s="75">
        <v>1</v>
      </c>
      <c r="E82" s="75">
        <v>4</v>
      </c>
      <c r="F82" s="75">
        <v>1</v>
      </c>
      <c r="G82" s="75">
        <v>1</v>
      </c>
      <c r="H82" s="75">
        <v>1</v>
      </c>
      <c r="I82" s="75">
        <v>0</v>
      </c>
      <c r="J82" s="75">
        <v>1</v>
      </c>
      <c r="K82" s="75">
        <v>0</v>
      </c>
      <c r="L82" s="75">
        <v>4</v>
      </c>
      <c r="M82" s="75">
        <v>1</v>
      </c>
    </row>
    <row r="83" spans="1:13" ht="25.5" customHeight="1">
      <c r="A83" s="71" t="s">
        <v>509</v>
      </c>
      <c r="B83" s="75">
        <v>0</v>
      </c>
      <c r="C83" s="75">
        <v>0</v>
      </c>
      <c r="D83" s="75">
        <v>0</v>
      </c>
      <c r="E83" s="75">
        <v>0</v>
      </c>
      <c r="F83" s="75">
        <v>0</v>
      </c>
      <c r="G83" s="75">
        <v>0</v>
      </c>
      <c r="H83" s="75">
        <v>0</v>
      </c>
      <c r="I83" s="75">
        <v>0</v>
      </c>
      <c r="J83" s="75">
        <v>0</v>
      </c>
      <c r="K83" s="75">
        <v>0</v>
      </c>
      <c r="L83" s="75">
        <v>2</v>
      </c>
      <c r="M83" s="75">
        <v>0</v>
      </c>
    </row>
    <row r="84" spans="1:13" ht="25.5" customHeight="1">
      <c r="A84" s="71" t="s">
        <v>16</v>
      </c>
      <c r="B84" s="75">
        <v>6</v>
      </c>
      <c r="C84" s="75">
        <v>13</v>
      </c>
      <c r="D84" s="75">
        <v>4</v>
      </c>
      <c r="E84" s="75">
        <v>3</v>
      </c>
      <c r="F84" s="75">
        <v>2</v>
      </c>
      <c r="G84" s="75">
        <v>6</v>
      </c>
      <c r="H84" s="75">
        <v>8</v>
      </c>
      <c r="I84" s="75">
        <v>1</v>
      </c>
      <c r="J84" s="75">
        <v>6</v>
      </c>
      <c r="K84" s="75">
        <v>0</v>
      </c>
      <c r="L84" s="75">
        <v>3</v>
      </c>
      <c r="M84" s="75">
        <v>1</v>
      </c>
    </row>
    <row r="85" spans="1:13" ht="25.5" customHeight="1">
      <c r="A85" s="71" t="s">
        <v>418</v>
      </c>
      <c r="B85" s="75">
        <v>1</v>
      </c>
      <c r="C85" s="75">
        <v>0</v>
      </c>
      <c r="D85" s="75">
        <v>0</v>
      </c>
      <c r="E85" s="75">
        <v>0</v>
      </c>
      <c r="F85" s="75">
        <v>0</v>
      </c>
      <c r="G85" s="75">
        <v>0</v>
      </c>
      <c r="H85" s="75">
        <v>0</v>
      </c>
      <c r="I85" s="75">
        <v>0</v>
      </c>
      <c r="J85" s="75">
        <v>1</v>
      </c>
      <c r="K85" s="75">
        <v>0</v>
      </c>
      <c r="L85" s="75">
        <v>0</v>
      </c>
      <c r="M85" s="75">
        <v>0</v>
      </c>
    </row>
    <row r="86" spans="1:13" ht="25.5" customHeight="1">
      <c r="A86" s="71" t="s">
        <v>109</v>
      </c>
      <c r="B86" s="75">
        <v>1</v>
      </c>
      <c r="C86" s="75">
        <v>0</v>
      </c>
      <c r="D86" s="75">
        <v>0</v>
      </c>
      <c r="E86" s="75">
        <v>0</v>
      </c>
      <c r="F86" s="75">
        <v>0</v>
      </c>
      <c r="G86" s="75">
        <v>0</v>
      </c>
      <c r="H86" s="75"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</row>
    <row r="87" spans="1:13" ht="25.5" customHeight="1">
      <c r="A87" s="71" t="s">
        <v>21</v>
      </c>
      <c r="B87" s="75">
        <v>1</v>
      </c>
      <c r="C87" s="75">
        <v>0</v>
      </c>
      <c r="D87" s="75">
        <v>0</v>
      </c>
      <c r="E87" s="75">
        <v>1</v>
      </c>
      <c r="F87" s="75">
        <v>2</v>
      </c>
      <c r="G87" s="75">
        <v>0</v>
      </c>
      <c r="H87" s="75">
        <v>0</v>
      </c>
      <c r="I87" s="75">
        <v>0</v>
      </c>
      <c r="J87" s="75">
        <v>0</v>
      </c>
      <c r="K87" s="75">
        <v>0</v>
      </c>
      <c r="L87" s="75">
        <v>0</v>
      </c>
      <c r="M87" s="75">
        <v>1</v>
      </c>
    </row>
    <row r="88" spans="1:13" ht="25.5" customHeight="1">
      <c r="A88" s="71" t="s">
        <v>499</v>
      </c>
      <c r="B88" s="75">
        <v>1</v>
      </c>
      <c r="C88" s="75">
        <v>4</v>
      </c>
      <c r="D88" s="75">
        <v>0</v>
      </c>
      <c r="E88" s="75">
        <v>0</v>
      </c>
      <c r="F88" s="75">
        <v>0</v>
      </c>
      <c r="G88" s="75">
        <v>0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</row>
    <row r="89" spans="1:13" ht="25.5" customHeight="1">
      <c r="A89" s="71" t="s">
        <v>500</v>
      </c>
      <c r="B89" s="75">
        <v>1</v>
      </c>
      <c r="C89" s="75">
        <v>0</v>
      </c>
      <c r="D89" s="75">
        <v>0</v>
      </c>
      <c r="E89" s="75">
        <v>0</v>
      </c>
      <c r="F89" s="75">
        <v>0</v>
      </c>
      <c r="G89" s="75">
        <v>0</v>
      </c>
      <c r="H89" s="75">
        <v>0</v>
      </c>
      <c r="I89" s="75">
        <v>0</v>
      </c>
      <c r="J89" s="75">
        <v>0</v>
      </c>
      <c r="K89" s="75">
        <v>0</v>
      </c>
      <c r="L89" s="75">
        <v>0</v>
      </c>
      <c r="M89" s="75">
        <v>0</v>
      </c>
    </row>
    <row r="90" spans="1:13" ht="25.5" customHeight="1">
      <c r="A90" s="71" t="s">
        <v>10</v>
      </c>
      <c r="B90" s="75">
        <v>5</v>
      </c>
      <c r="C90" s="75">
        <v>2</v>
      </c>
      <c r="D90" s="75">
        <v>2</v>
      </c>
      <c r="E90" s="75">
        <v>0</v>
      </c>
      <c r="F90" s="75">
        <v>0</v>
      </c>
      <c r="G90" s="75">
        <v>2</v>
      </c>
      <c r="H90" s="75">
        <v>0</v>
      </c>
      <c r="I90" s="75">
        <v>2</v>
      </c>
      <c r="J90" s="75">
        <v>2</v>
      </c>
      <c r="K90" s="75">
        <v>2</v>
      </c>
      <c r="L90" s="75">
        <v>5</v>
      </c>
      <c r="M90" s="75">
        <v>1</v>
      </c>
    </row>
    <row r="91" spans="1:13" ht="25.5" customHeight="1">
      <c r="A91" s="71" t="s">
        <v>252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v>0</v>
      </c>
      <c r="H91" s="75">
        <v>0</v>
      </c>
      <c r="I91" s="75">
        <v>0</v>
      </c>
      <c r="J91" s="75">
        <v>0</v>
      </c>
      <c r="K91" s="75">
        <v>0</v>
      </c>
      <c r="L91" s="75">
        <v>0</v>
      </c>
      <c r="M91" s="75">
        <v>1</v>
      </c>
    </row>
    <row r="92" spans="1:13" ht="25.5" customHeight="1">
      <c r="A92" s="71" t="s">
        <v>81</v>
      </c>
      <c r="B92" s="75">
        <v>0</v>
      </c>
      <c r="C92" s="75">
        <v>0</v>
      </c>
      <c r="D92" s="75">
        <v>1</v>
      </c>
      <c r="E92" s="75">
        <v>0</v>
      </c>
      <c r="F92" s="75">
        <v>1</v>
      </c>
      <c r="G92" s="75">
        <v>1</v>
      </c>
      <c r="H92" s="75">
        <v>1</v>
      </c>
      <c r="I92" s="75">
        <v>1</v>
      </c>
      <c r="J92" s="75">
        <v>1</v>
      </c>
      <c r="K92" s="75">
        <v>0</v>
      </c>
      <c r="L92" s="75">
        <v>1</v>
      </c>
      <c r="M92" s="75">
        <v>0</v>
      </c>
    </row>
    <row r="94" spans="1:13" ht="25.5" customHeight="1">
      <c r="A94" s="84" t="s">
        <v>565</v>
      </c>
      <c r="B94" s="87">
        <f>SUM(Table12[South-East])</f>
        <v>16</v>
      </c>
      <c r="C94" s="87">
        <f>SUM(Table12[London])</f>
        <v>22</v>
      </c>
      <c r="D94" s="87">
        <f>SUM(Table12[South-West])</f>
        <v>9</v>
      </c>
      <c r="E94" s="87">
        <f>SUM(Table12[East of England])</f>
        <v>8</v>
      </c>
      <c r="F94" s="87">
        <f>SUM(Table12[East Midlands])</f>
        <v>6</v>
      </c>
      <c r="G94" s="87">
        <f>SUM(Table12[West Midlands])</f>
        <v>10</v>
      </c>
      <c r="H94" s="87">
        <f>SUM(Table12[Yorkshire and The Humber])</f>
        <v>10</v>
      </c>
      <c r="I94" s="87">
        <f>SUM(Table12[North-East])</f>
        <v>4</v>
      </c>
      <c r="J94" s="87">
        <f>SUM(Table12[North-West])</f>
        <v>11</v>
      </c>
      <c r="K94" s="87">
        <f>SUM(Table12[Northern Ireland])</f>
        <v>2</v>
      </c>
      <c r="L94" s="87">
        <f>SUM(Table12[Scotland])</f>
        <v>15</v>
      </c>
      <c r="M94" s="87">
        <f>SUM(Table12[Wales])</f>
        <v>5</v>
      </c>
    </row>
    <row r="95" spans="1:13" ht="25.5" customHeight="1"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</row>
    <row r="96" spans="1:13" ht="25.5" customHeight="1">
      <c r="A96" s="86" t="s">
        <v>586</v>
      </c>
      <c r="B96" s="88">
        <f>COUNTIF(Table12[South-East],"&gt;0")</f>
        <v>7</v>
      </c>
      <c r="C96" s="88">
        <f>COUNTIF(Table12[London],"&gt;0")</f>
        <v>4</v>
      </c>
      <c r="D96" s="88">
        <f>COUNTIF(Table12[South-West],"&gt;0")</f>
        <v>5</v>
      </c>
      <c r="E96" s="88">
        <f>COUNTIF(Table12[East of England],"&gt;0")</f>
        <v>3</v>
      </c>
      <c r="F96" s="88">
        <f>COUNTIF(Table12[East Midlands],"&gt;0")</f>
        <v>4</v>
      </c>
      <c r="G96" s="88">
        <f>COUNTIF(Table12[West Midlands],"&gt;0")</f>
        <v>4</v>
      </c>
      <c r="H96" s="88">
        <f>COUNTIF(Table12[Yorkshire and The Humber],"&gt;0")</f>
        <v>3</v>
      </c>
      <c r="I96" s="88">
        <f>COUNTIF(Table12[North-East],"&gt;0")</f>
        <v>3</v>
      </c>
      <c r="J96" s="88">
        <f>COUNTIF(Table12[North-West],"&gt;0")</f>
        <v>5</v>
      </c>
      <c r="K96" s="88">
        <f>COUNTIF(Table12[Northern Ireland],"&gt;0")</f>
        <v>1</v>
      </c>
      <c r="L96" s="88">
        <f>COUNTIF(Table12[Scotland],"&gt;0")</f>
        <v>5</v>
      </c>
      <c r="M96" s="88">
        <f>COUNTIF(Table12[Wales],"&gt;0")</f>
        <v>5</v>
      </c>
    </row>
    <row r="97" spans="1:13" ht="25.5" customHeight="1">
      <c r="A97" s="74" t="s">
        <v>631</v>
      </c>
      <c r="B97" s="75">
        <f>B96/B94</f>
        <v>0.4375</v>
      </c>
      <c r="C97" s="75">
        <f t="shared" ref="C97:M97" si="6">C96/C94</f>
        <v>0.18181818181818182</v>
      </c>
      <c r="D97" s="75">
        <f t="shared" si="6"/>
        <v>0.55555555555555558</v>
      </c>
      <c r="E97" s="75">
        <f t="shared" si="6"/>
        <v>0.375</v>
      </c>
      <c r="F97" s="75">
        <f t="shared" si="6"/>
        <v>0.66666666666666663</v>
      </c>
      <c r="G97" s="75">
        <f t="shared" si="6"/>
        <v>0.4</v>
      </c>
      <c r="H97" s="75">
        <f t="shared" si="6"/>
        <v>0.3</v>
      </c>
      <c r="I97" s="75">
        <f t="shared" si="6"/>
        <v>0.75</v>
      </c>
      <c r="J97" s="75">
        <f t="shared" si="6"/>
        <v>0.45454545454545453</v>
      </c>
      <c r="K97" s="75">
        <f t="shared" si="6"/>
        <v>0.5</v>
      </c>
      <c r="L97" s="75">
        <f t="shared" si="6"/>
        <v>0.33333333333333331</v>
      </c>
      <c r="M97" s="75">
        <f t="shared" si="6"/>
        <v>1</v>
      </c>
    </row>
    <row r="99" spans="1:13" ht="25.5" customHeight="1">
      <c r="A99" s="77" t="s">
        <v>633</v>
      </c>
      <c r="G99" s="77" t="s">
        <v>671</v>
      </c>
    </row>
    <row r="101" spans="1:13" ht="25.5" customHeight="1">
      <c r="A101" s="74" t="s">
        <v>601</v>
      </c>
      <c r="B101" s="74" t="s">
        <v>602</v>
      </c>
      <c r="C101" s="89" t="s">
        <v>603</v>
      </c>
      <c r="D101" s="90" t="s">
        <v>586</v>
      </c>
      <c r="E101" s="74" t="s">
        <v>631</v>
      </c>
      <c r="G101" s="71" t="s">
        <v>638</v>
      </c>
      <c r="H101" s="71" t="s">
        <v>631</v>
      </c>
    </row>
    <row r="102" spans="1:13" ht="25.5" customHeight="1">
      <c r="A102" s="74" t="s">
        <v>604</v>
      </c>
      <c r="B102" s="74" t="s">
        <v>605</v>
      </c>
      <c r="C102" s="75">
        <v>15</v>
      </c>
      <c r="D102" s="75">
        <v>3</v>
      </c>
      <c r="E102" s="71">
        <f>Table13[[#This Row],['#Different Types of System]]/Table13[[#This Row],[Total Instances]]</f>
        <v>0.2</v>
      </c>
      <c r="G102" s="71" t="s">
        <v>653</v>
      </c>
      <c r="H102" s="71">
        <v>0.16216216216216217</v>
      </c>
    </row>
    <row r="103" spans="1:13" ht="25.5" customHeight="1">
      <c r="A103" s="74" t="s">
        <v>604</v>
      </c>
      <c r="B103" s="74" t="s">
        <v>606</v>
      </c>
      <c r="C103" s="75">
        <v>15</v>
      </c>
      <c r="D103" s="75">
        <v>5</v>
      </c>
      <c r="E103" s="71">
        <f>Table13[[#This Row],['#Different Types of System]]/Table13[[#This Row],[Total Instances]]</f>
        <v>0.33333333333333331</v>
      </c>
      <c r="G103" s="71" t="s">
        <v>646</v>
      </c>
      <c r="H103" s="71">
        <v>0.16949152542372881</v>
      </c>
    </row>
    <row r="104" spans="1:13" ht="25.5" customHeight="1">
      <c r="A104" s="74" t="s">
        <v>604</v>
      </c>
      <c r="B104" s="74" t="s">
        <v>607</v>
      </c>
      <c r="C104" s="75">
        <v>32</v>
      </c>
      <c r="D104" s="75">
        <v>9</v>
      </c>
      <c r="E104" s="71">
        <f>Table13[[#This Row],['#Different Types of System]]/Table13[[#This Row],[Total Instances]]</f>
        <v>0.28125</v>
      </c>
      <c r="G104" s="71" t="s">
        <v>659</v>
      </c>
      <c r="H104" s="71">
        <v>0.18181818181818182</v>
      </c>
    </row>
    <row r="105" spans="1:13" ht="25.5" customHeight="1">
      <c r="A105" s="74" t="s">
        <v>604</v>
      </c>
      <c r="B105" s="74" t="s">
        <v>608</v>
      </c>
      <c r="C105" s="75">
        <v>20</v>
      </c>
      <c r="D105" s="75">
        <v>6</v>
      </c>
      <c r="E105" s="71">
        <f>Table13[[#This Row],['#Different Types of System]]/Table13[[#This Row],[Total Instances]]</f>
        <v>0.3</v>
      </c>
      <c r="G105" s="71" t="s">
        <v>639</v>
      </c>
      <c r="H105" s="71">
        <v>0.2</v>
      </c>
    </row>
    <row r="106" spans="1:13" ht="25.5" customHeight="1">
      <c r="A106" s="74" t="s">
        <v>604</v>
      </c>
      <c r="B106" s="74" t="s">
        <v>609</v>
      </c>
      <c r="C106" s="75">
        <v>16</v>
      </c>
      <c r="D106" s="75">
        <v>5</v>
      </c>
      <c r="E106" s="71">
        <f>Table13[[#This Row],['#Different Types of System]]/Table13[[#This Row],[Total Instances]]</f>
        <v>0.3125</v>
      </c>
      <c r="G106" s="71" t="s">
        <v>652</v>
      </c>
      <c r="H106" s="71">
        <v>0.23529411764705882</v>
      </c>
    </row>
    <row r="107" spans="1:13" ht="25.5" customHeight="1">
      <c r="A107" s="74" t="s">
        <v>604</v>
      </c>
      <c r="B107" s="74" t="s">
        <v>610</v>
      </c>
      <c r="C107" s="75">
        <v>20</v>
      </c>
      <c r="D107" s="75">
        <v>5</v>
      </c>
      <c r="E107" s="71">
        <f>Table13[[#This Row],['#Different Types of System]]/Table13[[#This Row],[Total Instances]]</f>
        <v>0.25</v>
      </c>
      <c r="G107" s="71" t="s">
        <v>651</v>
      </c>
      <c r="H107" s="71">
        <v>0.24</v>
      </c>
    </row>
    <row r="108" spans="1:13" ht="25.5" customHeight="1">
      <c r="A108" s="74" t="s">
        <v>614</v>
      </c>
      <c r="B108" s="74" t="s">
        <v>611</v>
      </c>
      <c r="C108" s="75">
        <v>26</v>
      </c>
      <c r="D108" s="75">
        <v>7</v>
      </c>
      <c r="E108" s="71">
        <f>Table13[[#This Row],['#Different Types of System]]/Table13[[#This Row],[Total Instances]]</f>
        <v>0.26923076923076922</v>
      </c>
      <c r="G108" s="71" t="s">
        <v>644</v>
      </c>
      <c r="H108" s="71">
        <v>0.25</v>
      </c>
    </row>
    <row r="109" spans="1:13" ht="25.5" customHeight="1">
      <c r="A109" s="74" t="s">
        <v>614</v>
      </c>
      <c r="B109" s="74" t="s">
        <v>612</v>
      </c>
      <c r="C109" s="75">
        <v>59</v>
      </c>
      <c r="D109" s="75">
        <v>10</v>
      </c>
      <c r="E109" s="71">
        <f>Table13[[#This Row],['#Different Types of System]]/Table13[[#This Row],[Total Instances]]</f>
        <v>0.16949152542372881</v>
      </c>
      <c r="G109" s="71" t="s">
        <v>657</v>
      </c>
      <c r="H109" s="71">
        <v>0.25</v>
      </c>
    </row>
    <row r="110" spans="1:13" ht="25.5" customHeight="1">
      <c r="A110" s="74" t="s">
        <v>614</v>
      </c>
      <c r="B110" s="74" t="s">
        <v>613</v>
      </c>
      <c r="C110" s="75">
        <v>26</v>
      </c>
      <c r="D110" s="75">
        <v>7</v>
      </c>
      <c r="E110" s="71">
        <f>Table13[[#This Row],['#Different Types of System]]/Table13[[#This Row],[Total Instances]]</f>
        <v>0.26923076923076922</v>
      </c>
      <c r="G110" s="71" t="s">
        <v>645</v>
      </c>
      <c r="H110" s="71">
        <v>0.26923076923076922</v>
      </c>
    </row>
    <row r="111" spans="1:13" ht="25.5" customHeight="1">
      <c r="A111" s="74" t="s">
        <v>615</v>
      </c>
      <c r="B111" s="74" t="s">
        <v>481</v>
      </c>
      <c r="C111" s="75">
        <v>6</v>
      </c>
      <c r="D111" s="75">
        <v>4</v>
      </c>
      <c r="E111" s="71">
        <f>Table13[[#This Row],['#Different Types of System]]/Table13[[#This Row],[Total Instances]]</f>
        <v>0.66666666666666663</v>
      </c>
      <c r="G111" s="71" t="s">
        <v>647</v>
      </c>
      <c r="H111" s="71">
        <v>0.26923076923076922</v>
      </c>
    </row>
    <row r="112" spans="1:13" ht="25.5" customHeight="1">
      <c r="A112" s="74" t="s">
        <v>615</v>
      </c>
      <c r="B112" s="74" t="s">
        <v>515</v>
      </c>
      <c r="C112" s="75">
        <v>4</v>
      </c>
      <c r="D112" s="75">
        <v>3</v>
      </c>
      <c r="E112" s="71">
        <f>Table13[[#This Row],['#Different Types of System]]/Table13[[#This Row],[Total Instances]]</f>
        <v>0.75</v>
      </c>
      <c r="G112" s="71" t="s">
        <v>641</v>
      </c>
      <c r="H112" s="71">
        <v>0.28125</v>
      </c>
    </row>
    <row r="113" spans="1:8" ht="25.5" customHeight="1">
      <c r="A113" s="74" t="s">
        <v>615</v>
      </c>
      <c r="B113" s="74" t="s">
        <v>489</v>
      </c>
      <c r="C113" s="75">
        <v>12</v>
      </c>
      <c r="D113" s="75">
        <v>5</v>
      </c>
      <c r="E113" s="71">
        <f>Table13[[#This Row],['#Different Types of System]]/Table13[[#This Row],[Total Instances]]</f>
        <v>0.41666666666666669</v>
      </c>
      <c r="G113" s="71" t="s">
        <v>654</v>
      </c>
      <c r="H113" s="71">
        <v>0.2857142857142857</v>
      </c>
    </row>
    <row r="114" spans="1:8" ht="25.5" customHeight="1">
      <c r="A114" s="74" t="s">
        <v>615</v>
      </c>
      <c r="B114" s="74" t="s">
        <v>473</v>
      </c>
      <c r="C114" s="75">
        <v>25</v>
      </c>
      <c r="D114" s="75">
        <v>6</v>
      </c>
      <c r="E114" s="71">
        <f>Table13[[#This Row],['#Different Types of System]]/Table13[[#This Row],[Total Instances]]</f>
        <v>0.24</v>
      </c>
      <c r="G114" s="71" t="s">
        <v>642</v>
      </c>
      <c r="H114" s="71">
        <v>0.3</v>
      </c>
    </row>
    <row r="115" spans="1:8" ht="25.5" customHeight="1">
      <c r="A115" s="74" t="s">
        <v>615</v>
      </c>
      <c r="B115" s="74" t="s">
        <v>484</v>
      </c>
      <c r="C115" s="75">
        <v>34</v>
      </c>
      <c r="D115" s="75">
        <v>8</v>
      </c>
      <c r="E115" s="71">
        <f>Table13[[#This Row],['#Different Types of System]]/Table13[[#This Row],[Total Instances]]</f>
        <v>0.23529411764705882</v>
      </c>
      <c r="G115" s="71" t="s">
        <v>664</v>
      </c>
      <c r="H115" s="71">
        <v>0.3</v>
      </c>
    </row>
    <row r="116" spans="1:8" ht="25.5" customHeight="1">
      <c r="A116" s="74" t="s">
        <v>615</v>
      </c>
      <c r="B116" s="74" t="s">
        <v>477</v>
      </c>
      <c r="C116" s="75">
        <v>37</v>
      </c>
      <c r="D116" s="75">
        <v>6</v>
      </c>
      <c r="E116" s="71">
        <f>Table13[[#This Row],['#Different Types of System]]/Table13[[#This Row],[Total Instances]]</f>
        <v>0.16216216216216217</v>
      </c>
      <c r="G116" s="71" t="s">
        <v>643</v>
      </c>
      <c r="H116" s="71">
        <v>0.3125</v>
      </c>
    </row>
    <row r="117" spans="1:8" ht="25.5" customHeight="1">
      <c r="A117" s="74" t="s">
        <v>616</v>
      </c>
      <c r="B117" s="74" t="s">
        <v>513</v>
      </c>
      <c r="C117" s="75">
        <v>7</v>
      </c>
      <c r="D117" s="75">
        <v>2</v>
      </c>
      <c r="E117" s="71">
        <f>Table13[[#This Row],['#Different Types of System]]/Table13[[#This Row],[Total Instances]]</f>
        <v>0.2857142857142857</v>
      </c>
      <c r="G117" s="71" t="s">
        <v>640</v>
      </c>
      <c r="H117" s="71">
        <v>0.33333333333333331</v>
      </c>
    </row>
    <row r="118" spans="1:8" ht="25.5" customHeight="1">
      <c r="A118" s="74" t="s">
        <v>616</v>
      </c>
      <c r="B118" s="74" t="s">
        <v>592</v>
      </c>
      <c r="C118" s="75">
        <v>2</v>
      </c>
      <c r="D118" s="75">
        <v>1</v>
      </c>
      <c r="E118" s="71">
        <f>Table13[[#This Row],['#Different Types of System]]/Table13[[#This Row],[Total Instances]]</f>
        <v>0.5</v>
      </c>
      <c r="G118" s="71" t="s">
        <v>668</v>
      </c>
      <c r="H118" s="71">
        <v>0.33333333333333331</v>
      </c>
    </row>
    <row r="119" spans="1:8" ht="25.5" customHeight="1">
      <c r="A119" s="74" t="s">
        <v>616</v>
      </c>
      <c r="B119" s="74" t="s">
        <v>478</v>
      </c>
      <c r="C119" s="75">
        <v>13</v>
      </c>
      <c r="D119" s="75">
        <v>5</v>
      </c>
      <c r="E119" s="71">
        <f>Table13[[#This Row],['#Different Types of System]]/Table13[[#This Row],[Total Instances]]</f>
        <v>0.38461538461538464</v>
      </c>
      <c r="G119" s="71" t="s">
        <v>661</v>
      </c>
      <c r="H119" s="71">
        <v>0.375</v>
      </c>
    </row>
    <row r="120" spans="1:8" ht="25.5" customHeight="1">
      <c r="A120" s="74" t="s">
        <v>616</v>
      </c>
      <c r="B120" s="74" t="s">
        <v>593</v>
      </c>
      <c r="C120" s="75">
        <v>24</v>
      </c>
      <c r="D120" s="75">
        <v>6</v>
      </c>
      <c r="E120" s="71">
        <f>Table13[[#This Row],['#Different Types of System]]/Table13[[#This Row],[Total Instances]]</f>
        <v>0.25</v>
      </c>
      <c r="G120" s="71" t="s">
        <v>656</v>
      </c>
      <c r="H120" s="71">
        <v>0.38461538461538464</v>
      </c>
    </row>
    <row r="121" spans="1:8" ht="25.5" customHeight="1">
      <c r="A121" s="74" t="s">
        <v>617</v>
      </c>
      <c r="B121" t="s">
        <v>488</v>
      </c>
      <c r="C121" s="75">
        <v>16</v>
      </c>
      <c r="D121" s="75">
        <v>7</v>
      </c>
      <c r="E121" s="71">
        <f>Table13[[#This Row],['#Different Types of System]]/Table13[[#This Row],[Total Instances]]</f>
        <v>0.4375</v>
      </c>
      <c r="G121" s="71" t="s">
        <v>663</v>
      </c>
      <c r="H121" s="71">
        <v>0.4</v>
      </c>
    </row>
    <row r="122" spans="1:8" ht="25.5" customHeight="1">
      <c r="A122" s="74" t="s">
        <v>617</v>
      </c>
      <c r="B122" t="s">
        <v>498</v>
      </c>
      <c r="C122" s="75">
        <v>22</v>
      </c>
      <c r="D122" s="75">
        <v>4</v>
      </c>
      <c r="E122" s="71">
        <f>Table13[[#This Row],['#Different Types of System]]/Table13[[#This Row],[Total Instances]]</f>
        <v>0.18181818181818182</v>
      </c>
      <c r="G122" s="71" t="s">
        <v>650</v>
      </c>
      <c r="H122" s="71">
        <v>0.41666666666666669</v>
      </c>
    </row>
    <row r="123" spans="1:8" ht="25.5" customHeight="1">
      <c r="A123" s="74" t="s">
        <v>617</v>
      </c>
      <c r="B123" t="s">
        <v>503</v>
      </c>
      <c r="C123" s="75">
        <v>9</v>
      </c>
      <c r="D123" s="75">
        <v>5</v>
      </c>
      <c r="E123" s="71">
        <f>Table13[[#This Row],['#Different Types of System]]/Table13[[#This Row],[Total Instances]]</f>
        <v>0.55555555555555558</v>
      </c>
      <c r="G123" s="71" t="s">
        <v>658</v>
      </c>
      <c r="H123" s="71">
        <v>0.4375</v>
      </c>
    </row>
    <row r="124" spans="1:8" ht="25.5" customHeight="1">
      <c r="A124" s="74" t="s">
        <v>617</v>
      </c>
      <c r="B124" t="s">
        <v>472</v>
      </c>
      <c r="C124" s="75">
        <v>8</v>
      </c>
      <c r="D124" s="75">
        <v>3</v>
      </c>
      <c r="E124" s="71">
        <f>Table13[[#This Row],['#Different Types of System]]/Table13[[#This Row],[Total Instances]]</f>
        <v>0.375</v>
      </c>
      <c r="G124" s="71" t="s">
        <v>666</v>
      </c>
      <c r="H124" s="71">
        <v>0.45454545454545453</v>
      </c>
    </row>
    <row r="125" spans="1:8" ht="25.5" customHeight="1">
      <c r="A125" s="74" t="s">
        <v>617</v>
      </c>
      <c r="B125" t="s">
        <v>496</v>
      </c>
      <c r="C125" s="75">
        <v>6</v>
      </c>
      <c r="D125" s="75">
        <v>4</v>
      </c>
      <c r="E125" s="71">
        <f>Table13[[#This Row],['#Different Types of System]]/Table13[[#This Row],[Total Instances]]</f>
        <v>0.66666666666666663</v>
      </c>
      <c r="G125" s="71" t="s">
        <v>655</v>
      </c>
      <c r="H125" s="71">
        <v>0.5</v>
      </c>
    </row>
    <row r="126" spans="1:8" ht="25.5" customHeight="1">
      <c r="A126" s="74" t="s">
        <v>617</v>
      </c>
      <c r="B126" t="s">
        <v>490</v>
      </c>
      <c r="C126" s="75">
        <v>10</v>
      </c>
      <c r="D126" s="75">
        <v>4</v>
      </c>
      <c r="E126" s="71">
        <f>Table13[[#This Row],['#Different Types of System]]/Table13[[#This Row],[Total Instances]]</f>
        <v>0.4</v>
      </c>
      <c r="G126" s="71" t="s">
        <v>667</v>
      </c>
      <c r="H126" s="71">
        <v>0.5</v>
      </c>
    </row>
    <row r="127" spans="1:8" ht="25.5" customHeight="1">
      <c r="A127" s="74" t="s">
        <v>617</v>
      </c>
      <c r="B127" t="s">
        <v>508</v>
      </c>
      <c r="C127" s="75">
        <v>10</v>
      </c>
      <c r="D127" s="75">
        <v>3</v>
      </c>
      <c r="E127" s="71">
        <f>Table13[[#This Row],['#Different Types of System]]/Table13[[#This Row],[Total Instances]]</f>
        <v>0.3</v>
      </c>
      <c r="G127" s="71" t="s">
        <v>660</v>
      </c>
      <c r="H127" s="71">
        <v>0.55555555555555558</v>
      </c>
    </row>
    <row r="128" spans="1:8" ht="25.5" customHeight="1">
      <c r="A128" s="74" t="s">
        <v>617</v>
      </c>
      <c r="B128" t="s">
        <v>527</v>
      </c>
      <c r="C128" s="75">
        <v>4</v>
      </c>
      <c r="D128" s="75">
        <v>3</v>
      </c>
      <c r="E128" s="71">
        <f>Table13[[#This Row],['#Different Types of System]]/Table13[[#This Row],[Total Instances]]</f>
        <v>0.75</v>
      </c>
      <c r="G128" s="71" t="s">
        <v>648</v>
      </c>
      <c r="H128" s="71">
        <v>0.66666666666666663</v>
      </c>
    </row>
    <row r="129" spans="1:8" ht="25.5" customHeight="1">
      <c r="A129" s="74" t="s">
        <v>617</v>
      </c>
      <c r="B129" t="s">
        <v>487</v>
      </c>
      <c r="C129" s="75">
        <v>11</v>
      </c>
      <c r="D129" s="75">
        <v>5</v>
      </c>
      <c r="E129" s="71">
        <f>Table13[[#This Row],['#Different Types of System]]/Table13[[#This Row],[Total Instances]]</f>
        <v>0.45454545454545453</v>
      </c>
      <c r="G129" s="71" t="s">
        <v>662</v>
      </c>
      <c r="H129" s="71">
        <v>0.66666666666666663</v>
      </c>
    </row>
    <row r="130" spans="1:8" ht="25.5" customHeight="1">
      <c r="A130" s="74" t="s">
        <v>617</v>
      </c>
      <c r="B130" t="s">
        <v>502</v>
      </c>
      <c r="C130" s="75">
        <v>2</v>
      </c>
      <c r="D130" s="75">
        <v>1</v>
      </c>
      <c r="E130" s="71">
        <f>Table13[[#This Row],['#Different Types of System]]/Table13[[#This Row],[Total Instances]]</f>
        <v>0.5</v>
      </c>
      <c r="G130" s="71" t="s">
        <v>649</v>
      </c>
      <c r="H130" s="71">
        <v>0.75</v>
      </c>
    </row>
    <row r="131" spans="1:8" ht="25.5" customHeight="1">
      <c r="A131" s="74" t="s">
        <v>617</v>
      </c>
      <c r="B131" t="s">
        <v>476</v>
      </c>
      <c r="C131" s="75">
        <v>15</v>
      </c>
      <c r="D131" s="75">
        <v>5</v>
      </c>
      <c r="E131" s="71">
        <f>Table13[[#This Row],['#Different Types of System]]/Table13[[#This Row],[Total Instances]]</f>
        <v>0.33333333333333331</v>
      </c>
      <c r="G131" s="71" t="s">
        <v>665</v>
      </c>
      <c r="H131" s="71">
        <v>0.75</v>
      </c>
    </row>
    <row r="132" spans="1:8" ht="25.5" customHeight="1">
      <c r="A132" s="74" t="s">
        <v>617</v>
      </c>
      <c r="B132" t="s">
        <v>494</v>
      </c>
      <c r="C132" s="75">
        <v>5</v>
      </c>
      <c r="D132" s="75">
        <v>5</v>
      </c>
      <c r="E132" s="71">
        <f>Table13[[#This Row],['#Different Types of System]]/Table13[[#This Row],[Total Instances]]</f>
        <v>1</v>
      </c>
      <c r="G132" s="71" t="s">
        <v>669</v>
      </c>
      <c r="H132" s="71">
        <v>1</v>
      </c>
    </row>
  </sheetData>
  <sortState xmlns:xlrd2="http://schemas.microsoft.com/office/spreadsheetml/2017/richdata2" ref="B59:B64">
    <sortCondition ref="B59:B64"/>
  </sortState>
  <pageMargins left="0.7" right="0.7" top="0.75" bottom="0.75" header="0.3" footer="0.3"/>
  <ignoredErrors>
    <ignoredError sqref="L5" calculatedColumn="1"/>
  </ignoredErrors>
  <tableParts count="1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5E23-0CDE-42CA-9B1C-CABBD33699D6}">
  <dimension ref="A1:Q172"/>
  <sheetViews>
    <sheetView workbookViewId="0"/>
  </sheetViews>
  <sheetFormatPr defaultRowHeight="12.75"/>
  <cols>
    <col min="1" max="16384" width="9.140625" style="70"/>
  </cols>
  <sheetData>
    <row r="1" spans="1:1">
      <c r="A1" s="91" t="s">
        <v>619</v>
      </c>
    </row>
    <row r="31" spans="1:1">
      <c r="A31" s="91" t="s">
        <v>621</v>
      </c>
    </row>
    <row r="53" spans="1:11">
      <c r="A53" s="91" t="s">
        <v>624</v>
      </c>
      <c r="K53" s="91" t="s">
        <v>626</v>
      </c>
    </row>
    <row r="75" spans="1:17">
      <c r="A75" s="91" t="s">
        <v>630</v>
      </c>
      <c r="Q75" s="91" t="s">
        <v>634</v>
      </c>
    </row>
    <row r="107" spans="1:17">
      <c r="A107" s="91" t="s">
        <v>635</v>
      </c>
    </row>
    <row r="108" spans="1:17">
      <c r="Q108" s="91" t="s">
        <v>636</v>
      </c>
    </row>
    <row r="140" spans="1:1">
      <c r="A140" s="91" t="s">
        <v>637</v>
      </c>
    </row>
    <row r="172" spans="1:1">
      <c r="A172" s="91" t="s">
        <v>670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RAW UKCORR DATA</vt:lpstr>
      <vt:lpstr>REVISED DATA</vt:lpstr>
      <vt:lpstr>ONLY UNI AND NON-DATA</vt:lpstr>
      <vt:lpstr>ANALYSIS</vt:lpstr>
      <vt:lpstr>VISUALISATIONS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George Bray (lib)</cp:lastModifiedBy>
  <cp:revision/>
  <dcterms:created xsi:type="dcterms:W3CDTF">2024-11-25T17:27:25Z</dcterms:created>
  <dcterms:modified xsi:type="dcterms:W3CDTF">2025-01-21T14:50:12Z</dcterms:modified>
  <cp:category/>
  <cp:contentStatus/>
</cp:coreProperties>
</file>