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7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drawings/drawing8.xml" ContentType="application/vnd.openxmlformats-officedocument.drawing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drawings/drawing9.xml" ContentType="application/vnd.openxmlformats-officedocument.drawing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drawings/drawing10.xml" ContentType="application/vnd.openxmlformats-officedocument.drawing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drawings/drawing11.xml" ContentType="application/vnd.openxmlformats-officedocument.drawing+xml"/>
  <Override PartName="/xl/ctrlProps/ctrlProp153.xml" ContentType="application/vnd.ms-excel.controlproperties+xml"/>
  <Override PartName="/xl/ctrlProps/ctrlProp154.xml" ContentType="application/vnd.ms-excel.controlproperties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O:\LIB\Research_Support\Open Access\Contacts\people\Amish, Mohamed Belkasem\AMISH 2004 Drilling fluids filtration and impact (SUPP DATA)\Files\"/>
    </mc:Choice>
  </mc:AlternateContent>
  <xr:revisionPtr revIDLastSave="0" documentId="14_{5A3F7498-3271-498B-BBE0-C9BBB82D45CD}" xr6:coauthVersionLast="47" xr6:coauthVersionMax="47" xr10:uidLastSave="{00000000-0000-0000-0000-000000000000}"/>
  <bookViews>
    <workbookView xWindow="-120" yWindow="-120" windowWidth="38640" windowHeight="21120" tabRatio="500" xr2:uid="{00000000-000D-0000-FFFF-FFFF00000000}"/>
  </bookViews>
  <sheets>
    <sheet name="Home" sheetId="1" r:id="rId1"/>
    <sheet name="Graphs Sheet 1" sheetId="2" r:id="rId2"/>
    <sheet name="Graphs Sheet 2" sheetId="11" r:id="rId3"/>
    <sheet name="Geometry Rheology 1" sheetId="3" r:id="rId4"/>
    <sheet name="Geometry Rheology 2" sheetId="8" r:id="rId5"/>
    <sheet name="Geometry Rheology 3" sheetId="7" r:id="rId6"/>
    <sheet name="Water-Based Mud 1" sheetId="10" r:id="rId7"/>
    <sheet name="Water-Based Mud 2" sheetId="9" r:id="rId8"/>
    <sheet name="Oil-Based Mud 1" sheetId="4" r:id="rId9"/>
    <sheet name="Oil-Based Mud 2" sheetId="6" r:id="rId10"/>
    <sheet name="Oil-Based Mud 3" sheetId="5" r:id="rId11"/>
  </sheets>
  <externalReferences>
    <externalReference r:id="rId12"/>
  </externalReferenc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O11" i="10" l="1"/>
  <c r="P16" i="10" s="1"/>
  <c r="O10" i="10"/>
  <c r="P15" i="10" s="1"/>
  <c r="J10" i="10"/>
  <c r="K15" i="10" s="1"/>
  <c r="J9" i="10"/>
  <c r="K14" i="10" s="1"/>
  <c r="Q17" i="9"/>
  <c r="Q16" i="9"/>
  <c r="P12" i="9"/>
  <c r="P11" i="9"/>
  <c r="N310" i="8"/>
  <c r="D36" i="8"/>
  <c r="D35" i="8"/>
  <c r="D6" i="8"/>
  <c r="D5" i="8"/>
  <c r="P81" i="7"/>
  <c r="P80" i="7"/>
  <c r="CQ66" i="7"/>
  <c r="CK66" i="7"/>
  <c r="CR66" i="7" s="1"/>
  <c r="CR65" i="7"/>
  <c r="CQ65" i="7"/>
  <c r="CK65" i="7"/>
  <c r="CR64" i="7"/>
  <c r="CQ64" i="7"/>
  <c r="CK64" i="7"/>
  <c r="CQ63" i="7"/>
  <c r="CK63" i="7"/>
  <c r="CR63" i="7" s="1"/>
  <c r="O63" i="7"/>
  <c r="CR62" i="7"/>
  <c r="CQ62" i="7"/>
  <c r="CK62" i="7"/>
  <c r="CR61" i="7"/>
  <c r="CQ61" i="7"/>
  <c r="CK61" i="7"/>
  <c r="CR60" i="7"/>
  <c r="CQ60" i="7"/>
  <c r="CK60" i="7"/>
  <c r="CR59" i="7"/>
  <c r="CQ59" i="7"/>
  <c r="CK59" i="7"/>
  <c r="CQ58" i="7"/>
  <c r="CK58" i="7"/>
  <c r="CR58" i="7" s="1"/>
  <c r="CR57" i="7"/>
  <c r="CQ57" i="7"/>
  <c r="CK57" i="7"/>
  <c r="CQ56" i="7"/>
  <c r="CK56" i="7"/>
  <c r="CR56" i="7" s="1"/>
  <c r="CQ55" i="7"/>
  <c r="CK55" i="7"/>
  <c r="CR55" i="7" s="1"/>
  <c r="CR54" i="7"/>
  <c r="CQ54" i="7"/>
  <c r="CK54" i="7"/>
  <c r="CQ53" i="7"/>
  <c r="CK53" i="7"/>
  <c r="CR53" i="7" s="1"/>
  <c r="CR52" i="7"/>
  <c r="CQ52" i="7"/>
  <c r="CK52" i="7"/>
  <c r="CQ51" i="7"/>
  <c r="CK51" i="7"/>
  <c r="CR51" i="7" s="1"/>
  <c r="O51" i="7"/>
  <c r="N51" i="7"/>
  <c r="N52" i="7" s="1"/>
  <c r="CR50" i="7"/>
  <c r="CQ50" i="7"/>
  <c r="CK50" i="7"/>
  <c r="O50" i="7"/>
  <c r="N50" i="7"/>
  <c r="CR49" i="7"/>
  <c r="CQ49" i="7"/>
  <c r="CK49" i="7"/>
  <c r="O49" i="7"/>
  <c r="CQ48" i="7"/>
  <c r="CK48" i="7"/>
  <c r="CR48" i="7" s="1"/>
  <c r="CR47" i="7"/>
  <c r="CQ47" i="7"/>
  <c r="CK47" i="7"/>
  <c r="CR46" i="7"/>
  <c r="CQ46" i="7"/>
  <c r="CK46" i="7"/>
  <c r="CQ45" i="7"/>
  <c r="CK45" i="7"/>
  <c r="CR45" i="7" s="1"/>
  <c r="CQ44" i="7"/>
  <c r="CK44" i="7"/>
  <c r="CR44" i="7" s="1"/>
  <c r="CR43" i="7"/>
  <c r="CQ43" i="7"/>
  <c r="CK43" i="7"/>
  <c r="CR42" i="7"/>
  <c r="CQ42" i="7"/>
  <c r="CK42" i="7"/>
  <c r="CQ41" i="7"/>
  <c r="CK41" i="7"/>
  <c r="CR41" i="7" s="1"/>
  <c r="CQ40" i="7"/>
  <c r="CK40" i="7"/>
  <c r="CR40" i="7" s="1"/>
  <c r="CR39" i="7"/>
  <c r="CQ39" i="7"/>
  <c r="CK39" i="7"/>
  <c r="CR38" i="7"/>
  <c r="CQ38" i="7"/>
  <c r="CK38" i="7"/>
  <c r="CQ37" i="7"/>
  <c r="CK37" i="7"/>
  <c r="CR37" i="7" s="1"/>
  <c r="CQ36" i="7"/>
  <c r="CK36" i="7"/>
  <c r="CR36" i="7" s="1"/>
  <c r="CR35" i="7"/>
  <c r="CQ35" i="7"/>
  <c r="CK35" i="7"/>
  <c r="CR34" i="7"/>
  <c r="CQ34" i="7"/>
  <c r="CK34" i="7"/>
  <c r="CQ33" i="7"/>
  <c r="CK33" i="7"/>
  <c r="CR33" i="7" s="1"/>
  <c r="CQ32" i="7"/>
  <c r="CK32" i="7"/>
  <c r="CR32" i="7" s="1"/>
  <c r="CR31" i="7"/>
  <c r="CQ31" i="7"/>
  <c r="CK31" i="7"/>
  <c r="CR30" i="7"/>
  <c r="CQ30" i="7"/>
  <c r="CK30" i="7"/>
  <c r="CQ29" i="7"/>
  <c r="CK29" i="7"/>
  <c r="CR29" i="7" s="1"/>
  <c r="CQ28" i="7"/>
  <c r="CK28" i="7"/>
  <c r="CR28" i="7" s="1"/>
  <c r="CR27" i="7"/>
  <c r="CQ27" i="7"/>
  <c r="CK27" i="7"/>
  <c r="CR26" i="7"/>
  <c r="CQ26" i="7"/>
  <c r="CK26" i="7"/>
  <c r="CQ25" i="7"/>
  <c r="CK25" i="7"/>
  <c r="CR25" i="7" s="1"/>
  <c r="CQ24" i="7"/>
  <c r="CK24" i="7"/>
  <c r="CR24" i="7" s="1"/>
  <c r="CR23" i="7"/>
  <c r="CQ23" i="7"/>
  <c r="CK23" i="7"/>
  <c r="CR22" i="7"/>
  <c r="CQ22" i="7"/>
  <c r="CK22" i="7"/>
  <c r="CQ21" i="7"/>
  <c r="CK21" i="7"/>
  <c r="CR21" i="7" s="1"/>
  <c r="CQ20" i="7"/>
  <c r="CK20" i="7"/>
  <c r="CR20" i="7" s="1"/>
  <c r="CR19" i="7"/>
  <c r="CQ19" i="7"/>
  <c r="CK19" i="7"/>
  <c r="CR18" i="7"/>
  <c r="CQ18" i="7"/>
  <c r="CK18" i="7"/>
  <c r="CQ17" i="7"/>
  <c r="CK17" i="7"/>
  <c r="CR17" i="7" s="1"/>
  <c r="CQ16" i="7"/>
  <c r="CK16" i="7"/>
  <c r="CR16" i="7" s="1"/>
  <c r="CR15" i="7"/>
  <c r="CQ15" i="7"/>
  <c r="CK15" i="7"/>
  <c r="CR14" i="7"/>
  <c r="CQ14" i="7"/>
  <c r="CK14" i="7"/>
  <c r="CQ13" i="7"/>
  <c r="CK13" i="7"/>
  <c r="CR13" i="7" s="1"/>
  <c r="CQ12" i="7"/>
  <c r="CK12" i="7"/>
  <c r="CR12" i="7" s="1"/>
  <c r="CR11" i="7"/>
  <c r="CQ11" i="7"/>
  <c r="CK11" i="7"/>
  <c r="P42" i="6"/>
  <c r="P41" i="6"/>
  <c r="O37" i="6"/>
  <c r="O36" i="6"/>
  <c r="P37" i="5"/>
  <c r="Q42" i="5" s="1"/>
  <c r="P36" i="5"/>
  <c r="Q41" i="5" s="1"/>
  <c r="BP82" i="4"/>
  <c r="O79" i="4"/>
  <c r="CE78" i="4"/>
  <c r="CF78" i="4" s="1"/>
  <c r="CD78" i="4"/>
  <c r="BX78" i="4"/>
  <c r="BW78" i="4"/>
  <c r="BP78" i="4"/>
  <c r="CC78" i="4" s="1"/>
  <c r="CK77" i="4"/>
  <c r="BZ77" i="4"/>
  <c r="CD77" i="4" s="1"/>
  <c r="CE77" i="4" s="1"/>
  <c r="BX77" i="4"/>
  <c r="BW77" i="4"/>
  <c r="BP77" i="4"/>
  <c r="CK76" i="4"/>
  <c r="BZ76" i="4"/>
  <c r="CD76" i="4" s="1"/>
  <c r="CE76" i="4" s="1"/>
  <c r="BX76" i="4"/>
  <c r="BW76" i="4"/>
  <c r="BP76" i="4"/>
  <c r="CK75" i="4"/>
  <c r="BZ75" i="4"/>
  <c r="CD75" i="4" s="1"/>
  <c r="CE75" i="4" s="1"/>
  <c r="BX75" i="4"/>
  <c r="BW75" i="4"/>
  <c r="BP75" i="4"/>
  <c r="N75" i="4"/>
  <c r="O80" i="4" s="1"/>
  <c r="CK74" i="4"/>
  <c r="BZ74" i="4"/>
  <c r="CD74" i="4" s="1"/>
  <c r="CE74" i="4" s="1"/>
  <c r="BX74" i="4"/>
  <c r="BW74" i="4"/>
  <c r="BP74" i="4"/>
  <c r="N74" i="4"/>
  <c r="CK73" i="4"/>
  <c r="BZ73" i="4"/>
  <c r="CD73" i="4" s="1"/>
  <c r="CE73" i="4" s="1"/>
  <c r="CF73" i="4" s="1"/>
  <c r="CA73" i="4" s="1"/>
  <c r="CB73" i="4" s="1"/>
  <c r="CC73" i="4" s="1"/>
  <c r="BX73" i="4"/>
  <c r="BW73" i="4"/>
  <c r="BP73" i="4"/>
  <c r="CK72" i="4"/>
  <c r="BZ72" i="4"/>
  <c r="CD72" i="4" s="1"/>
  <c r="CE72" i="4" s="1"/>
  <c r="BX72" i="4"/>
  <c r="BW72" i="4"/>
  <c r="BP72" i="4"/>
  <c r="CK71" i="4"/>
  <c r="BZ71" i="4"/>
  <c r="CD71" i="4" s="1"/>
  <c r="CE71" i="4" s="1"/>
  <c r="CF71" i="4" s="1"/>
  <c r="CA71" i="4" s="1"/>
  <c r="BX71" i="4"/>
  <c r="BW71" i="4"/>
  <c r="BP71" i="4"/>
  <c r="BM71" i="4"/>
  <c r="BF71" i="4"/>
  <c r="CK70" i="4"/>
  <c r="CR70" i="4" s="1"/>
  <c r="BZ70" i="4"/>
  <c r="CD70" i="4" s="1"/>
  <c r="CE70" i="4" s="1"/>
  <c r="BX70" i="4"/>
  <c r="BW70" i="4"/>
  <c r="BP70" i="4"/>
  <c r="BM70" i="4"/>
  <c r="BJ70" i="4"/>
  <c r="BF70" i="4"/>
  <c r="BD70" i="4"/>
  <c r="AX70" i="4"/>
  <c r="AY70" i="4" s="1"/>
  <c r="AY71" i="4" s="1"/>
  <c r="CK69" i="4"/>
  <c r="CR69" i="4" s="1"/>
  <c r="BZ69" i="4"/>
  <c r="CD69" i="4" s="1"/>
  <c r="CE69" i="4" s="1"/>
  <c r="BX69" i="4"/>
  <c r="BW69" i="4"/>
  <c r="BP69" i="4"/>
  <c r="BM69" i="4"/>
  <c r="BJ69" i="4"/>
  <c r="BF69" i="4"/>
  <c r="BE69" i="4"/>
  <c r="BD69" i="4"/>
  <c r="AY69" i="4"/>
  <c r="AX69" i="4"/>
  <c r="AZ69" i="4" s="1"/>
  <c r="CK68" i="4"/>
  <c r="CR68" i="4" s="1"/>
  <c r="BZ68" i="4"/>
  <c r="CD68" i="4" s="1"/>
  <c r="CE68" i="4" s="1"/>
  <c r="BX68" i="4"/>
  <c r="BW68" i="4"/>
  <c r="BP68" i="4"/>
  <c r="BM68" i="4"/>
  <c r="BJ68" i="4"/>
  <c r="BF68" i="4"/>
  <c r="AX68" i="4"/>
  <c r="CK67" i="4"/>
  <c r="CR67" i="4" s="1"/>
  <c r="BZ67" i="4"/>
  <c r="CD67" i="4" s="1"/>
  <c r="CE67" i="4" s="1"/>
  <c r="BX67" i="4"/>
  <c r="BW67" i="4"/>
  <c r="BP67" i="4"/>
  <c r="BM67" i="4"/>
  <c r="BJ67" i="4"/>
  <c r="BF67" i="4"/>
  <c r="BE67" i="4"/>
  <c r="BD67" i="4"/>
  <c r="AY67" i="4"/>
  <c r="AX67" i="4"/>
  <c r="AZ67" i="4" s="1"/>
  <c r="CK66" i="4"/>
  <c r="CR66" i="4" s="1"/>
  <c r="BZ66" i="4"/>
  <c r="CD66" i="4" s="1"/>
  <c r="CE66" i="4" s="1"/>
  <c r="BX66" i="4"/>
  <c r="BW66" i="4"/>
  <c r="BP66" i="4"/>
  <c r="BM66" i="4"/>
  <c r="BJ66" i="4"/>
  <c r="BF66" i="4"/>
  <c r="AX66" i="4"/>
  <c r="BD66" i="4" s="1"/>
  <c r="CK65" i="4"/>
  <c r="CR65" i="4" s="1"/>
  <c r="BZ65" i="4"/>
  <c r="CD65" i="4" s="1"/>
  <c r="CE65" i="4" s="1"/>
  <c r="BX65" i="4"/>
  <c r="BW65" i="4"/>
  <c r="BP65" i="4"/>
  <c r="BM65" i="4"/>
  <c r="BJ65" i="4"/>
  <c r="BF65" i="4"/>
  <c r="BE65" i="4"/>
  <c r="BD65" i="4"/>
  <c r="AY65" i="4"/>
  <c r="AX65" i="4"/>
  <c r="AZ65" i="4" s="1"/>
  <c r="CK64" i="4"/>
  <c r="CR64" i="4" s="1"/>
  <c r="BZ64" i="4"/>
  <c r="CD64" i="4" s="1"/>
  <c r="CE64" i="4" s="1"/>
  <c r="BX64" i="4"/>
  <c r="BW64" i="4"/>
  <c r="BP64" i="4"/>
  <c r="BM64" i="4"/>
  <c r="BJ64" i="4"/>
  <c r="BF64" i="4"/>
  <c r="AY64" i="4"/>
  <c r="AX64" i="4"/>
  <c r="CK63" i="4"/>
  <c r="CR63" i="4" s="1"/>
  <c r="BZ63" i="4"/>
  <c r="CD63" i="4" s="1"/>
  <c r="CE63" i="4" s="1"/>
  <c r="BX63" i="4"/>
  <c r="BW63" i="4"/>
  <c r="BP63" i="4"/>
  <c r="BM63" i="4"/>
  <c r="BJ63" i="4"/>
  <c r="BF63" i="4"/>
  <c r="BE63" i="4"/>
  <c r="BD63" i="4"/>
  <c r="AY63" i="4"/>
  <c r="AX63" i="4"/>
  <c r="AZ63" i="4" s="1"/>
  <c r="CK62" i="4"/>
  <c r="CR62" i="4" s="1"/>
  <c r="BZ62" i="4"/>
  <c r="CD62" i="4" s="1"/>
  <c r="CE62" i="4" s="1"/>
  <c r="BX62" i="4"/>
  <c r="BW62" i="4"/>
  <c r="BP62" i="4"/>
  <c r="BM62" i="4"/>
  <c r="BJ62" i="4"/>
  <c r="BF62" i="4"/>
  <c r="AX62" i="4"/>
  <c r="BD62" i="4" s="1"/>
  <c r="CK61" i="4"/>
  <c r="CR61" i="4" s="1"/>
  <c r="BZ61" i="4"/>
  <c r="CD61" i="4" s="1"/>
  <c r="CE61" i="4" s="1"/>
  <c r="BX61" i="4"/>
  <c r="BW61" i="4"/>
  <c r="BP61" i="4"/>
  <c r="BM61" i="4"/>
  <c r="BJ61" i="4"/>
  <c r="BF61" i="4"/>
  <c r="BE61" i="4"/>
  <c r="BD61" i="4"/>
  <c r="AY61" i="4"/>
  <c r="AX61" i="4"/>
  <c r="AZ61" i="4" s="1"/>
  <c r="CK60" i="4"/>
  <c r="CR60" i="4" s="1"/>
  <c r="BZ60" i="4"/>
  <c r="CD60" i="4" s="1"/>
  <c r="CE60" i="4" s="1"/>
  <c r="BX60" i="4"/>
  <c r="BW60" i="4"/>
  <c r="BP60" i="4"/>
  <c r="BM60" i="4"/>
  <c r="BJ60" i="4"/>
  <c r="BF60" i="4"/>
  <c r="BD60" i="4"/>
  <c r="AY60" i="4"/>
  <c r="AX60" i="4"/>
  <c r="CK59" i="4"/>
  <c r="CR59" i="4" s="1"/>
  <c r="BZ59" i="4"/>
  <c r="CD59" i="4" s="1"/>
  <c r="CE59" i="4" s="1"/>
  <c r="BX59" i="4"/>
  <c r="BW59" i="4"/>
  <c r="BP59" i="4"/>
  <c r="BM59" i="4"/>
  <c r="BJ59" i="4"/>
  <c r="BF59" i="4"/>
  <c r="BE59" i="4"/>
  <c r="BD59" i="4"/>
  <c r="AY59" i="4"/>
  <c r="AX59" i="4"/>
  <c r="AZ59" i="4" s="1"/>
  <c r="CK58" i="4"/>
  <c r="CR58" i="4" s="1"/>
  <c r="BZ58" i="4"/>
  <c r="CD58" i="4" s="1"/>
  <c r="CE58" i="4" s="1"/>
  <c r="BX58" i="4"/>
  <c r="BW58" i="4"/>
  <c r="BP58" i="4"/>
  <c r="BM58" i="4"/>
  <c r="BJ58" i="4"/>
  <c r="BF58" i="4"/>
  <c r="AX58" i="4"/>
  <c r="CK57" i="4"/>
  <c r="CR57" i="4" s="1"/>
  <c r="BZ57" i="4"/>
  <c r="CD57" i="4" s="1"/>
  <c r="CE57" i="4" s="1"/>
  <c r="BX57" i="4"/>
  <c r="BW57" i="4"/>
  <c r="BP57" i="4"/>
  <c r="BM57" i="4"/>
  <c r="BJ57" i="4"/>
  <c r="BF57" i="4"/>
  <c r="BE57" i="4"/>
  <c r="BD57" i="4"/>
  <c r="AY57" i="4"/>
  <c r="AX57" i="4"/>
  <c r="AZ57" i="4" s="1"/>
  <c r="CK56" i="4"/>
  <c r="CR56" i="4" s="1"/>
  <c r="BZ56" i="4"/>
  <c r="CD56" i="4" s="1"/>
  <c r="CE56" i="4" s="1"/>
  <c r="BX56" i="4"/>
  <c r="BW56" i="4"/>
  <c r="BP56" i="4"/>
  <c r="BM56" i="4"/>
  <c r="BJ56" i="4"/>
  <c r="BF56" i="4"/>
  <c r="AX56" i="4"/>
  <c r="BD56" i="4" s="1"/>
  <c r="CK55" i="4"/>
  <c r="CR55" i="4" s="1"/>
  <c r="BZ55" i="4"/>
  <c r="CD55" i="4" s="1"/>
  <c r="CE55" i="4" s="1"/>
  <c r="BX55" i="4"/>
  <c r="BW55" i="4"/>
  <c r="BP55" i="4"/>
  <c r="BM55" i="4"/>
  <c r="BJ55" i="4"/>
  <c r="BF55" i="4"/>
  <c r="BE55" i="4"/>
  <c r="BD55" i="4"/>
  <c r="AY55" i="4"/>
  <c r="AX55" i="4"/>
  <c r="AZ55" i="4" s="1"/>
  <c r="CK54" i="4"/>
  <c r="CR54" i="4" s="1"/>
  <c r="BZ54" i="4"/>
  <c r="CD54" i="4" s="1"/>
  <c r="CE54" i="4" s="1"/>
  <c r="BX54" i="4"/>
  <c r="BW54" i="4"/>
  <c r="BP54" i="4"/>
  <c r="BM54" i="4"/>
  <c r="BJ54" i="4"/>
  <c r="BF54" i="4"/>
  <c r="AX54" i="4"/>
  <c r="AZ54" i="4" s="1"/>
  <c r="CK53" i="4"/>
  <c r="CR53" i="4" s="1"/>
  <c r="BZ53" i="4"/>
  <c r="CD53" i="4" s="1"/>
  <c r="CE53" i="4" s="1"/>
  <c r="BX53" i="4"/>
  <c r="BW53" i="4"/>
  <c r="BP53" i="4"/>
  <c r="BM53" i="4"/>
  <c r="BJ53" i="4"/>
  <c r="BF53" i="4"/>
  <c r="AX53" i="4"/>
  <c r="CK52" i="4"/>
  <c r="CR52" i="4" s="1"/>
  <c r="BZ52" i="4"/>
  <c r="CD52" i="4" s="1"/>
  <c r="CE52" i="4" s="1"/>
  <c r="CF52" i="4" s="1"/>
  <c r="BX52" i="4"/>
  <c r="BW52" i="4"/>
  <c r="BP52" i="4"/>
  <c r="BM52" i="4"/>
  <c r="BJ52" i="4"/>
  <c r="BF52" i="4"/>
  <c r="BE52" i="4"/>
  <c r="BD52" i="4"/>
  <c r="AZ52" i="4"/>
  <c r="AX52" i="4"/>
  <c r="AY52" i="4" s="1"/>
  <c r="CK51" i="4"/>
  <c r="CR51" i="4" s="1"/>
  <c r="BZ51" i="4"/>
  <c r="CD51" i="4" s="1"/>
  <c r="CE51" i="4" s="1"/>
  <c r="BX51" i="4"/>
  <c r="BW51" i="4"/>
  <c r="BP51" i="4"/>
  <c r="BM51" i="4"/>
  <c r="BJ51" i="4"/>
  <c r="BF51" i="4"/>
  <c r="AX51" i="4"/>
  <c r="BE51" i="4" s="1"/>
  <c r="CK50" i="4"/>
  <c r="CR50" i="4" s="1"/>
  <c r="BZ50" i="4"/>
  <c r="CD50" i="4" s="1"/>
  <c r="CE50" i="4" s="1"/>
  <c r="BX50" i="4"/>
  <c r="BW50" i="4"/>
  <c r="BP50" i="4"/>
  <c r="BM50" i="4"/>
  <c r="BJ50" i="4"/>
  <c r="BF50" i="4"/>
  <c r="AX50" i="4"/>
  <c r="CK49" i="4"/>
  <c r="CR49" i="4" s="1"/>
  <c r="BZ49" i="4"/>
  <c r="CD49" i="4" s="1"/>
  <c r="CE49" i="4" s="1"/>
  <c r="CF49" i="4" s="1"/>
  <c r="BX49" i="4"/>
  <c r="BW49" i="4"/>
  <c r="BP49" i="4"/>
  <c r="BM49" i="4"/>
  <c r="BJ49" i="4"/>
  <c r="BF49" i="4"/>
  <c r="AX49" i="4"/>
  <c r="AY49" i="4" s="1"/>
  <c r="CK48" i="4"/>
  <c r="CR48" i="4" s="1"/>
  <c r="BZ48" i="4"/>
  <c r="CD48" i="4" s="1"/>
  <c r="CE48" i="4" s="1"/>
  <c r="BX48" i="4"/>
  <c r="BW48" i="4"/>
  <c r="BP48" i="4"/>
  <c r="BM48" i="4"/>
  <c r="BJ48" i="4"/>
  <c r="BF48" i="4"/>
  <c r="AX48" i="4"/>
  <c r="CK47" i="4"/>
  <c r="CR47" i="4" s="1"/>
  <c r="BZ47" i="4"/>
  <c r="CD47" i="4" s="1"/>
  <c r="CE47" i="4" s="1"/>
  <c r="CF47" i="4" s="1"/>
  <c r="BX47" i="4"/>
  <c r="BW47" i="4"/>
  <c r="BP47" i="4"/>
  <c r="BM47" i="4"/>
  <c r="BJ47" i="4"/>
  <c r="BF47" i="4"/>
  <c r="BD47" i="4"/>
  <c r="AX47" i="4"/>
  <c r="CK46" i="4"/>
  <c r="CR46" i="4" s="1"/>
  <c r="BZ46" i="4"/>
  <c r="CD46" i="4" s="1"/>
  <c r="CE46" i="4" s="1"/>
  <c r="BX46" i="4"/>
  <c r="BW46" i="4"/>
  <c r="BP46" i="4"/>
  <c r="BM46" i="4"/>
  <c r="BJ46" i="4"/>
  <c r="BF46" i="4"/>
  <c r="AX46" i="4"/>
  <c r="AY46" i="4" s="1"/>
  <c r="CK45" i="4"/>
  <c r="CR45" i="4" s="1"/>
  <c r="BZ45" i="4"/>
  <c r="CD45" i="4" s="1"/>
  <c r="CE45" i="4" s="1"/>
  <c r="BX45" i="4"/>
  <c r="BW45" i="4"/>
  <c r="BP45" i="4"/>
  <c r="BM45" i="4"/>
  <c r="BJ45" i="4"/>
  <c r="BF45" i="4"/>
  <c r="BD45" i="4"/>
  <c r="AZ45" i="4"/>
  <c r="AY45" i="4"/>
  <c r="AX45" i="4"/>
  <c r="BE45" i="4" s="1"/>
  <c r="CK44" i="4"/>
  <c r="CR44" i="4" s="1"/>
  <c r="BZ44" i="4"/>
  <c r="CD44" i="4" s="1"/>
  <c r="CE44" i="4" s="1"/>
  <c r="CF44" i="4" s="1"/>
  <c r="BX44" i="4"/>
  <c r="BW44" i="4"/>
  <c r="BP44" i="4"/>
  <c r="BM44" i="4"/>
  <c r="BJ44" i="4"/>
  <c r="BF44" i="4"/>
  <c r="BD44" i="4"/>
  <c r="AX44" i="4"/>
  <c r="CK43" i="4"/>
  <c r="CR43" i="4" s="1"/>
  <c r="BZ43" i="4"/>
  <c r="CD43" i="4" s="1"/>
  <c r="CE43" i="4" s="1"/>
  <c r="BX43" i="4"/>
  <c r="BW43" i="4"/>
  <c r="BP43" i="4"/>
  <c r="BM43" i="4"/>
  <c r="BJ43" i="4"/>
  <c r="BF43" i="4"/>
  <c r="AX43" i="4"/>
  <c r="CR42" i="4"/>
  <c r="CK42" i="4"/>
  <c r="BZ42" i="4"/>
  <c r="CD42" i="4" s="1"/>
  <c r="CE42" i="4" s="1"/>
  <c r="BX42" i="4"/>
  <c r="BW42" i="4"/>
  <c r="BP42" i="4"/>
  <c r="BM42" i="4"/>
  <c r="BJ42" i="4"/>
  <c r="BF42" i="4"/>
  <c r="BE42" i="4"/>
  <c r="BD42" i="4"/>
  <c r="AX42" i="4"/>
  <c r="AZ42" i="4" s="1"/>
  <c r="CR41" i="4"/>
  <c r="CK41" i="4"/>
  <c r="BZ41" i="4"/>
  <c r="CD41" i="4" s="1"/>
  <c r="CE41" i="4" s="1"/>
  <c r="BX41" i="4"/>
  <c r="BW41" i="4"/>
  <c r="BP41" i="4"/>
  <c r="BM41" i="4"/>
  <c r="BJ41" i="4"/>
  <c r="BF41" i="4"/>
  <c r="AX41" i="4"/>
  <c r="CR40" i="4"/>
  <c r="CK40" i="4"/>
  <c r="BZ40" i="4"/>
  <c r="CD40" i="4" s="1"/>
  <c r="CE40" i="4" s="1"/>
  <c r="CF40" i="4" s="1"/>
  <c r="BX40" i="4"/>
  <c r="BW40" i="4"/>
  <c r="BP40" i="4"/>
  <c r="BM40" i="4"/>
  <c r="BJ40" i="4"/>
  <c r="BF40" i="4"/>
  <c r="BE40" i="4"/>
  <c r="BD40" i="4"/>
  <c r="AZ40" i="4"/>
  <c r="AX40" i="4"/>
  <c r="AY40" i="4" s="1"/>
  <c r="CK39" i="4"/>
  <c r="CR39" i="4" s="1"/>
  <c r="BZ39" i="4"/>
  <c r="CD39" i="4" s="1"/>
  <c r="CE39" i="4" s="1"/>
  <c r="BX39" i="4"/>
  <c r="BW39" i="4"/>
  <c r="BP39" i="4"/>
  <c r="BM39" i="4"/>
  <c r="BJ39" i="4"/>
  <c r="BF39" i="4"/>
  <c r="BE39" i="4"/>
  <c r="BD39" i="4"/>
  <c r="AZ39" i="4"/>
  <c r="AX39" i="4"/>
  <c r="AY39" i="4" s="1"/>
  <c r="CR38" i="4"/>
  <c r="CK38" i="4"/>
  <c r="BZ38" i="4"/>
  <c r="CD38" i="4" s="1"/>
  <c r="CE38" i="4" s="1"/>
  <c r="BX38" i="4"/>
  <c r="BW38" i="4"/>
  <c r="BP38" i="4"/>
  <c r="BM38" i="4"/>
  <c r="BJ38" i="4"/>
  <c r="BF38" i="4"/>
  <c r="AX38" i="4"/>
  <c r="CR37" i="4"/>
  <c r="CK37" i="4"/>
  <c r="BZ37" i="4"/>
  <c r="CD37" i="4" s="1"/>
  <c r="CE37" i="4" s="1"/>
  <c r="CF37" i="4" s="1"/>
  <c r="BX37" i="4"/>
  <c r="BW37" i="4"/>
  <c r="BP37" i="4"/>
  <c r="BM37" i="4" s="1"/>
  <c r="BJ37" i="4"/>
  <c r="BF37" i="4"/>
  <c r="AX37" i="4"/>
  <c r="BD37" i="4" s="1"/>
  <c r="CK36" i="4"/>
  <c r="CR36" i="4" s="1"/>
  <c r="BZ36" i="4"/>
  <c r="CD36" i="4" s="1"/>
  <c r="CE36" i="4" s="1"/>
  <c r="BX36" i="4"/>
  <c r="BW36" i="4"/>
  <c r="BP36" i="4"/>
  <c r="BM36" i="4"/>
  <c r="BJ36" i="4"/>
  <c r="BF36" i="4"/>
  <c r="BE36" i="4"/>
  <c r="BD36" i="4"/>
  <c r="AZ36" i="4"/>
  <c r="AX36" i="4"/>
  <c r="AY36" i="4" s="1"/>
  <c r="CK35" i="4"/>
  <c r="CR35" i="4" s="1"/>
  <c r="BZ35" i="4"/>
  <c r="CD35" i="4" s="1"/>
  <c r="CE35" i="4" s="1"/>
  <c r="BX35" i="4"/>
  <c r="BW35" i="4"/>
  <c r="BP35" i="4"/>
  <c r="BM35" i="4"/>
  <c r="BJ35" i="4"/>
  <c r="BF35" i="4"/>
  <c r="AX35" i="4"/>
  <c r="BD35" i="4" s="1"/>
  <c r="CR34" i="4"/>
  <c r="CK34" i="4"/>
  <c r="BZ34" i="4"/>
  <c r="CD34" i="4" s="1"/>
  <c r="CE34" i="4" s="1"/>
  <c r="BX34" i="4"/>
  <c r="BW34" i="4"/>
  <c r="BP34" i="4"/>
  <c r="BM34" i="4"/>
  <c r="BJ34" i="4"/>
  <c r="BF34" i="4"/>
  <c r="BE34" i="4"/>
  <c r="BD34" i="4"/>
  <c r="AX34" i="4"/>
  <c r="AZ34" i="4" s="1"/>
  <c r="CK33" i="4"/>
  <c r="CR33" i="4" s="1"/>
  <c r="BZ33" i="4"/>
  <c r="CD33" i="4" s="1"/>
  <c r="CE33" i="4" s="1"/>
  <c r="CF33" i="4" s="1"/>
  <c r="CA33" i="4" s="1"/>
  <c r="CB33" i="4" s="1"/>
  <c r="CC33" i="4" s="1"/>
  <c r="BX33" i="4"/>
  <c r="BW33" i="4"/>
  <c r="BP33" i="4"/>
  <c r="BM33" i="4"/>
  <c r="BJ33" i="4"/>
  <c r="BF33" i="4"/>
  <c r="BB33" i="4"/>
  <c r="BC33" i="4" s="1"/>
  <c r="AZ33" i="4"/>
  <c r="BA33" i="4" s="1"/>
  <c r="AY33" i="4"/>
  <c r="AX33" i="4"/>
  <c r="CR32" i="4"/>
  <c r="CK32" i="4"/>
  <c r="BZ32" i="4"/>
  <c r="CD32" i="4" s="1"/>
  <c r="CE32" i="4" s="1"/>
  <c r="BX32" i="4"/>
  <c r="BW32" i="4"/>
  <c r="BP32" i="4"/>
  <c r="BM32" i="4" s="1"/>
  <c r="BJ32" i="4"/>
  <c r="BF32" i="4"/>
  <c r="AX32" i="4"/>
  <c r="CR31" i="4"/>
  <c r="CK31" i="4"/>
  <c r="BZ31" i="4"/>
  <c r="CD31" i="4" s="1"/>
  <c r="CE31" i="4" s="1"/>
  <c r="BX31" i="4"/>
  <c r="BW31" i="4"/>
  <c r="BP31" i="4"/>
  <c r="BM31" i="4"/>
  <c r="BJ31" i="4"/>
  <c r="BF31" i="4"/>
  <c r="AX31" i="4"/>
  <c r="CK30" i="4"/>
  <c r="CR30" i="4" s="1"/>
  <c r="BZ30" i="4"/>
  <c r="CD30" i="4" s="1"/>
  <c r="CE30" i="4" s="1"/>
  <c r="CF30" i="4" s="1"/>
  <c r="BX30" i="4"/>
  <c r="BW30" i="4"/>
  <c r="BP30" i="4"/>
  <c r="BM30" i="4"/>
  <c r="BJ30" i="4"/>
  <c r="BF30" i="4"/>
  <c r="BB30" i="4"/>
  <c r="BC30" i="4" s="1"/>
  <c r="AZ30" i="4"/>
  <c r="BA30" i="4" s="1"/>
  <c r="AY30" i="4"/>
  <c r="AX30" i="4"/>
  <c r="CR29" i="4"/>
  <c r="CK29" i="4"/>
  <c r="BZ29" i="4"/>
  <c r="CD29" i="4" s="1"/>
  <c r="CE29" i="4" s="1"/>
  <c r="BX29" i="4"/>
  <c r="BW29" i="4"/>
  <c r="BP29" i="4"/>
  <c r="BM29" i="4" s="1"/>
  <c r="BJ29" i="4"/>
  <c r="BF29" i="4"/>
  <c r="AX29" i="4"/>
  <c r="CR28" i="4"/>
  <c r="CK28" i="4"/>
  <c r="BZ28" i="4"/>
  <c r="CD28" i="4" s="1"/>
  <c r="CE28" i="4" s="1"/>
  <c r="BX28" i="4"/>
  <c r="BW28" i="4"/>
  <c r="BP28" i="4"/>
  <c r="BM28" i="4"/>
  <c r="BJ28" i="4"/>
  <c r="BF28" i="4"/>
  <c r="AX28" i="4"/>
  <c r="CK27" i="4"/>
  <c r="CR27" i="4" s="1"/>
  <c r="BZ27" i="4"/>
  <c r="CD27" i="4" s="1"/>
  <c r="CE27" i="4" s="1"/>
  <c r="CF27" i="4" s="1"/>
  <c r="BX27" i="4"/>
  <c r="BW27" i="4"/>
  <c r="BP27" i="4"/>
  <c r="BM27" i="4"/>
  <c r="BJ27" i="4"/>
  <c r="BF27" i="4"/>
  <c r="BB27" i="4"/>
  <c r="BC27" i="4" s="1"/>
  <c r="AZ27" i="4"/>
  <c r="BA27" i="4" s="1"/>
  <c r="AY27" i="4"/>
  <c r="AX27" i="4"/>
  <c r="CR26" i="4"/>
  <c r="CK26" i="4"/>
  <c r="BZ26" i="4"/>
  <c r="CD26" i="4" s="1"/>
  <c r="CE26" i="4" s="1"/>
  <c r="BX26" i="4"/>
  <c r="BW26" i="4"/>
  <c r="BP26" i="4"/>
  <c r="BM26" i="4"/>
  <c r="BJ26" i="4"/>
  <c r="BF26" i="4"/>
  <c r="AY26" i="4"/>
  <c r="AX26" i="4"/>
  <c r="CK25" i="4"/>
  <c r="CR25" i="4" s="1"/>
  <c r="BZ25" i="4"/>
  <c r="CD25" i="4" s="1"/>
  <c r="CE25" i="4" s="1"/>
  <c r="BX25" i="4"/>
  <c r="BW25" i="4"/>
  <c r="BP25" i="4"/>
  <c r="BM25" i="4"/>
  <c r="BJ25" i="4"/>
  <c r="BF25" i="4"/>
  <c r="AX25" i="4"/>
  <c r="AY25" i="4" s="1"/>
  <c r="CK24" i="4"/>
  <c r="CR24" i="4" s="1"/>
  <c r="BZ24" i="4"/>
  <c r="CD24" i="4" s="1"/>
  <c r="CE24" i="4" s="1"/>
  <c r="BX24" i="4"/>
  <c r="BW24" i="4"/>
  <c r="BP24" i="4"/>
  <c r="BM24" i="4"/>
  <c r="BJ24" i="4"/>
  <c r="BF24" i="4"/>
  <c r="BD24" i="4"/>
  <c r="BC24" i="4"/>
  <c r="BB24" i="4"/>
  <c r="BA24" i="4"/>
  <c r="AZ24" i="4"/>
  <c r="AY24" i="4"/>
  <c r="AX24" i="4"/>
  <c r="BE24" i="4" s="1"/>
  <c r="CK23" i="4"/>
  <c r="CR23" i="4" s="1"/>
  <c r="BZ23" i="4"/>
  <c r="CD23" i="4" s="1"/>
  <c r="CE23" i="4" s="1"/>
  <c r="CF23" i="4" s="1"/>
  <c r="BX23" i="4"/>
  <c r="BW23" i="4"/>
  <c r="BP23" i="4"/>
  <c r="BM23" i="4"/>
  <c r="BJ23" i="4"/>
  <c r="BF23" i="4"/>
  <c r="BD23" i="4"/>
  <c r="AZ23" i="4"/>
  <c r="BB23" i="4" s="1"/>
  <c r="BC23" i="4" s="1"/>
  <c r="AY23" i="4"/>
  <c r="AX23" i="4"/>
  <c r="BE23" i="4" s="1"/>
  <c r="CR22" i="4"/>
  <c r="CK22" i="4"/>
  <c r="BZ22" i="4"/>
  <c r="CD22" i="4" s="1"/>
  <c r="CE22" i="4" s="1"/>
  <c r="BX22" i="4"/>
  <c r="BW22" i="4"/>
  <c r="BP22" i="4"/>
  <c r="BM22" i="4"/>
  <c r="BJ22" i="4"/>
  <c r="BF22" i="4"/>
  <c r="AZ22" i="4"/>
  <c r="AX22" i="4"/>
  <c r="CR21" i="4"/>
  <c r="CK21" i="4"/>
  <c r="BZ21" i="4"/>
  <c r="CD21" i="4" s="1"/>
  <c r="CE21" i="4" s="1"/>
  <c r="BX21" i="4"/>
  <c r="BW21" i="4"/>
  <c r="BQ21" i="4"/>
  <c r="BQ22" i="4" s="1"/>
  <c r="BQ23" i="4" s="1"/>
  <c r="BQ24" i="4" s="1"/>
  <c r="BQ25" i="4" s="1"/>
  <c r="BQ26" i="4" s="1"/>
  <c r="BQ27" i="4" s="1"/>
  <c r="BQ28" i="4" s="1"/>
  <c r="BQ29" i="4" s="1"/>
  <c r="BQ30" i="4" s="1"/>
  <c r="BQ31" i="4" s="1"/>
  <c r="BQ32" i="4" s="1"/>
  <c r="BQ33" i="4" s="1"/>
  <c r="BQ34" i="4" s="1"/>
  <c r="BQ35" i="4" s="1"/>
  <c r="BQ36" i="4" s="1"/>
  <c r="BQ37" i="4" s="1"/>
  <c r="BQ38" i="4" s="1"/>
  <c r="BQ39" i="4" s="1"/>
  <c r="BQ40" i="4" s="1"/>
  <c r="BQ41" i="4" s="1"/>
  <c r="BQ42" i="4" s="1"/>
  <c r="BQ43" i="4" s="1"/>
  <c r="BQ44" i="4" s="1"/>
  <c r="BQ45" i="4" s="1"/>
  <c r="BQ46" i="4" s="1"/>
  <c r="BQ47" i="4" s="1"/>
  <c r="BQ48" i="4" s="1"/>
  <c r="BQ49" i="4" s="1"/>
  <c r="BQ50" i="4" s="1"/>
  <c r="BQ51" i="4" s="1"/>
  <c r="BQ52" i="4" s="1"/>
  <c r="BQ53" i="4" s="1"/>
  <c r="BQ54" i="4" s="1"/>
  <c r="BQ55" i="4" s="1"/>
  <c r="BQ56" i="4" s="1"/>
  <c r="BQ57" i="4" s="1"/>
  <c r="BQ58" i="4" s="1"/>
  <c r="BQ59" i="4" s="1"/>
  <c r="BQ60" i="4" s="1"/>
  <c r="BQ61" i="4" s="1"/>
  <c r="BQ62" i="4" s="1"/>
  <c r="BQ63" i="4" s="1"/>
  <c r="BQ64" i="4" s="1"/>
  <c r="BQ65" i="4" s="1"/>
  <c r="BQ66" i="4" s="1"/>
  <c r="BQ67" i="4" s="1"/>
  <c r="BQ68" i="4" s="1"/>
  <c r="BQ69" i="4" s="1"/>
  <c r="BQ70" i="4" s="1"/>
  <c r="BQ71" i="4" s="1"/>
  <c r="BQ72" i="4" s="1"/>
  <c r="BQ73" i="4" s="1"/>
  <c r="BQ74" i="4" s="1"/>
  <c r="BQ75" i="4" s="1"/>
  <c r="BQ76" i="4" s="1"/>
  <c r="BQ77" i="4" s="1"/>
  <c r="BQ78" i="4" s="1"/>
  <c r="BP21" i="4"/>
  <c r="BM21" i="4"/>
  <c r="BJ21" i="4"/>
  <c r="BF21" i="4"/>
  <c r="AX21" i="4"/>
  <c r="CK20" i="4"/>
  <c r="CR20" i="4" s="1"/>
  <c r="BZ20" i="4"/>
  <c r="CD20" i="4" s="1"/>
  <c r="CE20" i="4" s="1"/>
  <c r="CF20" i="4" s="1"/>
  <c r="BX20" i="4"/>
  <c r="BW20" i="4"/>
  <c r="BP20" i="4"/>
  <c r="BM20" i="4"/>
  <c r="BJ20" i="4"/>
  <c r="BF20" i="4"/>
  <c r="AX20" i="4"/>
  <c r="BE20" i="4" s="1"/>
  <c r="CK19" i="4"/>
  <c r="CR19" i="4" s="1"/>
  <c r="BZ19" i="4"/>
  <c r="CD19" i="4" s="1"/>
  <c r="CE19" i="4" s="1"/>
  <c r="CF19" i="4" s="1"/>
  <c r="BX19" i="4"/>
  <c r="BW19" i="4"/>
  <c r="BP19" i="4"/>
  <c r="BM19" i="4"/>
  <c r="BJ19" i="4"/>
  <c r="BF19" i="4"/>
  <c r="BD19" i="4"/>
  <c r="AX19" i="4"/>
  <c r="BE19" i="4" s="1"/>
  <c r="CK18" i="4"/>
  <c r="CR18" i="4" s="1"/>
  <c r="BZ18" i="4"/>
  <c r="CD18" i="4" s="1"/>
  <c r="CE18" i="4" s="1"/>
  <c r="BX18" i="4"/>
  <c r="BW18" i="4"/>
  <c r="BP18" i="4"/>
  <c r="BM18" i="4"/>
  <c r="BJ18" i="4"/>
  <c r="BF18" i="4"/>
  <c r="BD18" i="4"/>
  <c r="BC18" i="4"/>
  <c r="BB18" i="4"/>
  <c r="BA18" i="4"/>
  <c r="AZ18" i="4"/>
  <c r="AY18" i="4"/>
  <c r="AX18" i="4"/>
  <c r="BE18" i="4" s="1"/>
  <c r="CK17" i="4"/>
  <c r="CR17" i="4" s="1"/>
  <c r="BZ17" i="4"/>
  <c r="CD17" i="4" s="1"/>
  <c r="CE17" i="4" s="1"/>
  <c r="CF17" i="4" s="1"/>
  <c r="BX17" i="4"/>
  <c r="BW17" i="4"/>
  <c r="BP17" i="4"/>
  <c r="BM17" i="4"/>
  <c r="BJ17" i="4"/>
  <c r="BF17" i="4"/>
  <c r="CR16" i="4"/>
  <c r="CK16" i="4"/>
  <c r="BZ16" i="4"/>
  <c r="CD16" i="4" s="1"/>
  <c r="CE16" i="4" s="1"/>
  <c r="BX16" i="4"/>
  <c r="BW16" i="4"/>
  <c r="BQ16" i="4"/>
  <c r="BQ17" i="4" s="1"/>
  <c r="BQ18" i="4" s="1"/>
  <c r="BQ19" i="4" s="1"/>
  <c r="BQ20" i="4" s="1"/>
  <c r="BP16" i="4"/>
  <c r="BM16" i="4" s="1"/>
  <c r="BJ16" i="4"/>
  <c r="BF16" i="4"/>
  <c r="BB16" i="4"/>
  <c r="AZ16" i="4"/>
  <c r="AX16" i="4"/>
  <c r="AX17" i="4" s="1"/>
  <c r="E142" i="3"/>
  <c r="E141" i="3"/>
  <c r="E140" i="3"/>
  <c r="E139" i="3"/>
  <c r="D98" i="3"/>
  <c r="E90" i="3"/>
  <c r="E88" i="3"/>
  <c r="D81" i="3"/>
  <c r="D80" i="3"/>
  <c r="D79" i="3"/>
  <c r="D78" i="3"/>
  <c r="D76" i="3"/>
  <c r="D75" i="3"/>
  <c r="D73" i="3"/>
  <c r="O68" i="3"/>
  <c r="N68" i="3"/>
  <c r="M68" i="3"/>
  <c r="E63" i="3"/>
  <c r="D54" i="3"/>
  <c r="E35" i="3"/>
  <c r="D35" i="3"/>
  <c r="C35" i="3"/>
  <c r="E27" i="3"/>
  <c r="E26" i="3"/>
  <c r="E25" i="3"/>
  <c r="E24" i="3"/>
  <c r="AA16" i="3"/>
  <c r="E14" i="3"/>
  <c r="E13" i="3"/>
  <c r="E12" i="3"/>
  <c r="E4" i="3"/>
  <c r="E3" i="3"/>
  <c r="CF18" i="4" l="1"/>
  <c r="CA18" i="4" s="1"/>
  <c r="CB18" i="4" s="1"/>
  <c r="CC18" i="4" s="1"/>
  <c r="CF72" i="4"/>
  <c r="CA72" i="4" s="1"/>
  <c r="CB72" i="4" s="1"/>
  <c r="CC72" i="4" s="1"/>
  <c r="CF74" i="4"/>
  <c r="CA74" i="4" s="1"/>
  <c r="CB74" i="4" s="1"/>
  <c r="CC74" i="4" s="1"/>
  <c r="CF24" i="4"/>
  <c r="CA24" i="4" s="1"/>
  <c r="CB24" i="4" s="1"/>
  <c r="CC24" i="4" s="1"/>
  <c r="CA17" i="4"/>
  <c r="CB17" i="4" s="1"/>
  <c r="CC17" i="4" s="1"/>
  <c r="CA23" i="4"/>
  <c r="CB23" i="4" s="1"/>
  <c r="CC23" i="4" s="1"/>
  <c r="CF76" i="4"/>
  <c r="CA76" i="4" s="1"/>
  <c r="CB76" i="4" s="1"/>
  <c r="CC76" i="4" s="1"/>
  <c r="CF39" i="4"/>
  <c r="CA39" i="4" s="1"/>
  <c r="CB39" i="4" s="1"/>
  <c r="CC39" i="4" s="1"/>
  <c r="BE22" i="4"/>
  <c r="BD22" i="4"/>
  <c r="BE32" i="4"/>
  <c r="BD32" i="4"/>
  <c r="AY32" i="4"/>
  <c r="AZ32" i="4"/>
  <c r="BE21" i="4"/>
  <c r="AZ21" i="4"/>
  <c r="BD21" i="4"/>
  <c r="AY21" i="4"/>
  <c r="AY22" i="4"/>
  <c r="CF35" i="4"/>
  <c r="CA35" i="4" s="1"/>
  <c r="CB35" i="4" s="1"/>
  <c r="CC35" i="4" s="1"/>
  <c r="AZ64" i="4"/>
  <c r="BE64" i="4"/>
  <c r="BD64" i="4"/>
  <c r="CF69" i="4"/>
  <c r="CA69" i="4" s="1"/>
  <c r="CB69" i="4" s="1"/>
  <c r="CC69" i="4" s="1"/>
  <c r="CF65" i="4"/>
  <c r="CA65" i="4" s="1"/>
  <c r="CB65" i="4" s="1"/>
  <c r="CC65" i="4" s="1"/>
  <c r="CF67" i="4"/>
  <c r="CA67" i="4" s="1"/>
  <c r="CB67" i="4" s="1"/>
  <c r="CC67" i="4" s="1"/>
  <c r="CF34" i="4"/>
  <c r="CA34" i="4" s="1"/>
  <c r="CB34" i="4" s="1"/>
  <c r="CC34" i="4" s="1"/>
  <c r="BE17" i="4"/>
  <c r="BD17" i="4"/>
  <c r="AY17" i="4"/>
  <c r="BD41" i="4"/>
  <c r="BE41" i="4"/>
  <c r="AZ41" i="4"/>
  <c r="CF50" i="4"/>
  <c r="CA50" i="4" s="1"/>
  <c r="CB50" i="4" s="1"/>
  <c r="CC50" i="4" s="1"/>
  <c r="CF77" i="4"/>
  <c r="CA77" i="4" s="1"/>
  <c r="CB77" i="4" s="1"/>
  <c r="CC77" i="4" s="1"/>
  <c r="AZ17" i="4"/>
  <c r="BA23" i="4"/>
  <c r="BB36" i="4"/>
  <c r="BC36" i="4" s="1"/>
  <c r="BA36" i="4"/>
  <c r="CF38" i="4"/>
  <c r="CA38" i="4" s="1"/>
  <c r="CB38" i="4" s="1"/>
  <c r="CC38" i="4" s="1"/>
  <c r="AY41" i="4"/>
  <c r="CF43" i="4"/>
  <c r="CA43" i="4" s="1"/>
  <c r="CB43" i="4" s="1"/>
  <c r="CC43" i="4" s="1"/>
  <c r="CF53" i="4"/>
  <c r="CA53" i="4" s="1"/>
  <c r="CB53" i="4" s="1"/>
  <c r="CC53" i="4" s="1"/>
  <c r="CF36" i="4"/>
  <c r="CA36" i="4" s="1"/>
  <c r="CB36" i="4" s="1"/>
  <c r="CC36" i="4" s="1"/>
  <c r="BB42" i="4"/>
  <c r="BC42" i="4" s="1"/>
  <c r="BA42" i="4"/>
  <c r="AZ50" i="4"/>
  <c r="AY50" i="4"/>
  <c r="BE50" i="4"/>
  <c r="BD50" i="4"/>
  <c r="CF46" i="4"/>
  <c r="CA46" i="4" s="1"/>
  <c r="CB46" i="4" s="1"/>
  <c r="CC46" i="4" s="1"/>
  <c r="CF55" i="4"/>
  <c r="CA55" i="4" s="1"/>
  <c r="CB55" i="4" s="1"/>
  <c r="CC55" i="4" s="1"/>
  <c r="CF25" i="4"/>
  <c r="CA25" i="4" s="1"/>
  <c r="CB25" i="4" s="1"/>
  <c r="CC25" i="4" s="1"/>
  <c r="BE38" i="4"/>
  <c r="BD38" i="4"/>
  <c r="AZ38" i="4"/>
  <c r="AY43" i="4"/>
  <c r="BE43" i="4"/>
  <c r="BD43" i="4"/>
  <c r="AZ43" i="4"/>
  <c r="AY38" i="4"/>
  <c r="BB45" i="4"/>
  <c r="BC45" i="4" s="1"/>
  <c r="BA45" i="4"/>
  <c r="BE48" i="4"/>
  <c r="AZ48" i="4"/>
  <c r="BD48" i="4"/>
  <c r="AY48" i="4"/>
  <c r="AZ58" i="4"/>
  <c r="BE58" i="4"/>
  <c r="BD58" i="4"/>
  <c r="CA20" i="4"/>
  <c r="CB20" i="4" s="1"/>
  <c r="CC20" i="4" s="1"/>
  <c r="CF21" i="4"/>
  <c r="CA21" i="4" s="1"/>
  <c r="CB21" i="4" s="1"/>
  <c r="CC21" i="4" s="1"/>
  <c r="CF28" i="4"/>
  <c r="CA28" i="4" s="1"/>
  <c r="CB28" i="4" s="1"/>
  <c r="CC28" i="4" s="1"/>
  <c r="CF31" i="4"/>
  <c r="CA31" i="4" s="1"/>
  <c r="CB31" i="4" s="1"/>
  <c r="CC31" i="4" s="1"/>
  <c r="AY58" i="4"/>
  <c r="CF59" i="4"/>
  <c r="CA59" i="4" s="1"/>
  <c r="CB59" i="4" s="1"/>
  <c r="CC59" i="4" s="1"/>
  <c r="CA19" i="4"/>
  <c r="CB19" i="4" s="1"/>
  <c r="CC19" i="4" s="1"/>
  <c r="BB22" i="4"/>
  <c r="BC22" i="4" s="1"/>
  <c r="BA22" i="4"/>
  <c r="BB34" i="4"/>
  <c r="BC34" i="4" s="1"/>
  <c r="BA34" i="4"/>
  <c r="CF54" i="4"/>
  <c r="CA54" i="4" s="1"/>
  <c r="CB54" i="4" s="1"/>
  <c r="CC54" i="4" s="1"/>
  <c r="CF57" i="4"/>
  <c r="CA57" i="4" s="1"/>
  <c r="CB57" i="4" s="1"/>
  <c r="CC57" i="4" s="1"/>
  <c r="CF26" i="4"/>
  <c r="CA26" i="4" s="1"/>
  <c r="CB26" i="4" s="1"/>
  <c r="CC26" i="4" s="1"/>
  <c r="CF29" i="4"/>
  <c r="CA29" i="4" s="1"/>
  <c r="CB29" i="4" s="1"/>
  <c r="CC29" i="4" s="1"/>
  <c r="CF32" i="4"/>
  <c r="CA32" i="4" s="1"/>
  <c r="CB32" i="4" s="1"/>
  <c r="CC32" i="4" s="1"/>
  <c r="CF22" i="4"/>
  <c r="CA22" i="4" s="1"/>
  <c r="CB22" i="4" s="1"/>
  <c r="CC22" i="4" s="1"/>
  <c r="BE26" i="4"/>
  <c r="BD26" i="4"/>
  <c r="AZ26" i="4"/>
  <c r="CA27" i="4"/>
  <c r="CB27" i="4" s="1"/>
  <c r="CC27" i="4" s="1"/>
  <c r="CA30" i="4"/>
  <c r="CB30" i="4" s="1"/>
  <c r="CC30" i="4" s="1"/>
  <c r="CF61" i="4"/>
  <c r="CA61" i="4" s="1"/>
  <c r="CB61" i="4" s="1"/>
  <c r="CC61" i="4" s="1"/>
  <c r="CF63" i="4"/>
  <c r="CA63" i="4" s="1"/>
  <c r="CB63" i="4" s="1"/>
  <c r="CC63" i="4" s="1"/>
  <c r="CF16" i="4"/>
  <c r="CA16" i="4" s="1"/>
  <c r="CB16" i="4" s="1"/>
  <c r="CC16" i="4" s="1"/>
  <c r="BE29" i="4"/>
  <c r="BD29" i="4"/>
  <c r="AY29" i="4"/>
  <c r="AZ29" i="4"/>
  <c r="CF45" i="4"/>
  <c r="CA45" i="4" s="1"/>
  <c r="CB45" i="4" s="1"/>
  <c r="CC45" i="4" s="1"/>
  <c r="AZ53" i="4"/>
  <c r="BD53" i="4"/>
  <c r="AY53" i="4"/>
  <c r="AZ68" i="4"/>
  <c r="BE68" i="4"/>
  <c r="BE53" i="4"/>
  <c r="AY68" i="4"/>
  <c r="AY54" i="4"/>
  <c r="CF68" i="4"/>
  <c r="CA68" i="4" s="1"/>
  <c r="CB68" i="4" s="1"/>
  <c r="CC68" i="4" s="1"/>
  <c r="BE31" i="4"/>
  <c r="BD31" i="4"/>
  <c r="CF75" i="4"/>
  <c r="CA75" i="4" s="1"/>
  <c r="CB75" i="4" s="1"/>
  <c r="CC75" i="4" s="1"/>
  <c r="BD20" i="4"/>
  <c r="BE27" i="4"/>
  <c r="BD27" i="4"/>
  <c r="BE30" i="4"/>
  <c r="BD30" i="4"/>
  <c r="BE33" i="4"/>
  <c r="BD33" i="4"/>
  <c r="BE37" i="4"/>
  <c r="AZ47" i="4"/>
  <c r="AY47" i="4"/>
  <c r="BE47" i="4"/>
  <c r="CA47" i="4"/>
  <c r="CB47" i="4" s="1"/>
  <c r="CC47" i="4" s="1"/>
  <c r="BE49" i="4"/>
  <c r="CF60" i="4"/>
  <c r="CA60" i="4"/>
  <c r="CB60" i="4" s="1"/>
  <c r="CC60" i="4" s="1"/>
  <c r="BB39" i="4"/>
  <c r="BC39" i="4" s="1"/>
  <c r="BA39" i="4"/>
  <c r="CF42" i="4"/>
  <c r="CA42" i="4" s="1"/>
  <c r="CB42" i="4" s="1"/>
  <c r="CC42" i="4" s="1"/>
  <c r="CA52" i="4"/>
  <c r="CB52" i="4" s="1"/>
  <c r="CC52" i="4" s="1"/>
  <c r="CF70" i="4"/>
  <c r="CA70" i="4" s="1"/>
  <c r="CB70" i="4" s="1"/>
  <c r="CC70" i="4" s="1"/>
  <c r="CF58" i="4"/>
  <c r="CA58" i="4" s="1"/>
  <c r="CB58" i="4" s="1"/>
  <c r="CC58" i="4" s="1"/>
  <c r="CF64" i="4"/>
  <c r="CA64" i="4" s="1"/>
  <c r="CB64" i="4" s="1"/>
  <c r="CC64" i="4" s="1"/>
  <c r="AY35" i="4"/>
  <c r="AY51" i="4"/>
  <c r="BE25" i="4"/>
  <c r="BD25" i="4"/>
  <c r="AZ35" i="4"/>
  <c r="AZ51" i="4"/>
  <c r="AY62" i="4"/>
  <c r="AZ20" i="4"/>
  <c r="BE28" i="4"/>
  <c r="BD28" i="4"/>
  <c r="BB40" i="4"/>
  <c r="BC40" i="4" s="1"/>
  <c r="BA40" i="4"/>
  <c r="CF51" i="4"/>
  <c r="CA51" i="4" s="1"/>
  <c r="CB51" i="4" s="1"/>
  <c r="CC51" i="4" s="1"/>
  <c r="BD54" i="4"/>
  <c r="AZ25" i="4"/>
  <c r="AY28" i="4"/>
  <c r="AY31" i="4"/>
  <c r="BD46" i="4"/>
  <c r="AZ49" i="4"/>
  <c r="BD51" i="4"/>
  <c r="BE54" i="4"/>
  <c r="BB54" i="4"/>
  <c r="BC54" i="4" s="1"/>
  <c r="BA54" i="4"/>
  <c r="CB71" i="4"/>
  <c r="CC71" i="4" s="1"/>
  <c r="AZ56" i="4"/>
  <c r="BE56" i="4"/>
  <c r="AZ46" i="4"/>
  <c r="AZ66" i="4"/>
  <c r="BE66" i="4"/>
  <c r="AZ19" i="4"/>
  <c r="AZ28" i="4"/>
  <c r="AZ31" i="4"/>
  <c r="AY34" i="4"/>
  <c r="BE35" i="4"/>
  <c r="AY37" i="4"/>
  <c r="AY42" i="4"/>
  <c r="AZ44" i="4"/>
  <c r="AY44" i="4"/>
  <c r="BE44" i="4"/>
  <c r="CA44" i="4"/>
  <c r="CB44" i="4" s="1"/>
  <c r="CC44" i="4" s="1"/>
  <c r="BE46" i="4"/>
  <c r="AZ60" i="4"/>
  <c r="BE60" i="4"/>
  <c r="AY66" i="4"/>
  <c r="O52" i="7"/>
  <c r="N53" i="7"/>
  <c r="CF41" i="4"/>
  <c r="CA41" i="4" s="1"/>
  <c r="CB41" i="4" s="1"/>
  <c r="CC41" i="4" s="1"/>
  <c r="CF48" i="4"/>
  <c r="CA48" i="4" s="1"/>
  <c r="CB48" i="4" s="1"/>
  <c r="CC48" i="4" s="1"/>
  <c r="AZ62" i="4"/>
  <c r="BE62" i="4"/>
  <c r="AY20" i="4"/>
  <c r="AY56" i="4"/>
  <c r="BD68" i="4"/>
  <c r="CF56" i="4"/>
  <c r="CA56" i="4" s="1"/>
  <c r="CB56" i="4" s="1"/>
  <c r="CC56" i="4" s="1"/>
  <c r="CF62" i="4"/>
  <c r="CA62" i="4" s="1"/>
  <c r="CB62" i="4" s="1"/>
  <c r="CC62" i="4" s="1"/>
  <c r="AY19" i="4"/>
  <c r="AZ37" i="4"/>
  <c r="CA37" i="4"/>
  <c r="CB37" i="4" s="1"/>
  <c r="CC37" i="4" s="1"/>
  <c r="CA40" i="4"/>
  <c r="CB40" i="4" s="1"/>
  <c r="CC40" i="4" s="1"/>
  <c r="BD49" i="4"/>
  <c r="CA49" i="4"/>
  <c r="CB49" i="4" s="1"/>
  <c r="CC49" i="4" s="1"/>
  <c r="BB52" i="4"/>
  <c r="BC52" i="4" s="1"/>
  <c r="BA52" i="4"/>
  <c r="CF66" i="4"/>
  <c r="CA66" i="4" s="1"/>
  <c r="CB66" i="4" s="1"/>
  <c r="CC66" i="4" s="1"/>
  <c r="AZ70" i="4"/>
  <c r="AX71" i="4"/>
  <c r="BE70" i="4"/>
  <c r="BE71" i="4" s="1"/>
  <c r="BB55" i="4"/>
  <c r="BC55" i="4" s="1"/>
  <c r="BA55" i="4"/>
  <c r="BB57" i="4"/>
  <c r="BC57" i="4" s="1"/>
  <c r="BA57" i="4"/>
  <c r="BB59" i="4"/>
  <c r="BC59" i="4" s="1"/>
  <c r="BA59" i="4"/>
  <c r="BB61" i="4"/>
  <c r="BC61" i="4" s="1"/>
  <c r="BA61" i="4"/>
  <c r="BB63" i="4"/>
  <c r="BC63" i="4" s="1"/>
  <c r="BA63" i="4"/>
  <c r="BB65" i="4"/>
  <c r="BC65" i="4" s="1"/>
  <c r="BA65" i="4"/>
  <c r="BB67" i="4"/>
  <c r="BC67" i="4" s="1"/>
  <c r="BA67" i="4"/>
  <c r="BB69" i="4"/>
  <c r="BC69" i="4" s="1"/>
  <c r="BA69" i="4"/>
  <c r="BB47" i="4" l="1"/>
  <c r="BC47" i="4" s="1"/>
  <c r="BA47" i="4"/>
  <c r="BB62" i="4"/>
  <c r="BC62" i="4" s="1"/>
  <c r="BA62" i="4"/>
  <c r="BB46" i="4"/>
  <c r="BC46" i="4" s="1"/>
  <c r="BA46" i="4"/>
  <c r="BB51" i="4"/>
  <c r="BC51" i="4" s="1"/>
  <c r="BA51" i="4"/>
  <c r="BB29" i="4"/>
  <c r="BC29" i="4" s="1"/>
  <c r="BA29" i="4"/>
  <c r="BB21" i="4"/>
  <c r="BC21" i="4" s="1"/>
  <c r="BA21" i="4"/>
  <c r="BB35" i="4"/>
  <c r="BC35" i="4" s="1"/>
  <c r="BA35" i="4"/>
  <c r="BB41" i="4"/>
  <c r="BC41" i="4" s="1"/>
  <c r="BA41" i="4"/>
  <c r="BA31" i="4"/>
  <c r="BB31" i="4"/>
  <c r="BC31" i="4" s="1"/>
  <c r="BB37" i="4"/>
  <c r="BC37" i="4" s="1"/>
  <c r="BA37" i="4"/>
  <c r="BB44" i="4"/>
  <c r="BC44" i="4" s="1"/>
  <c r="BA44" i="4"/>
  <c r="BB56" i="4"/>
  <c r="BC56" i="4" s="1"/>
  <c r="BA56" i="4"/>
  <c r="BB25" i="4"/>
  <c r="BC25" i="4" s="1"/>
  <c r="BA25" i="4"/>
  <c r="BB26" i="4"/>
  <c r="BC26" i="4" s="1"/>
  <c r="BA26" i="4"/>
  <c r="BB58" i="4"/>
  <c r="BC58" i="4" s="1"/>
  <c r="BA58" i="4"/>
  <c r="BB38" i="4"/>
  <c r="BC38" i="4" s="1"/>
  <c r="BA38" i="4"/>
  <c r="BA32" i="4"/>
  <c r="BB32" i="4"/>
  <c r="BC32" i="4" s="1"/>
  <c r="N54" i="7"/>
  <c r="O53" i="7"/>
  <c r="AZ71" i="4"/>
  <c r="BB70" i="4"/>
  <c r="BA70" i="4"/>
  <c r="BB48" i="4"/>
  <c r="BC48" i="4" s="1"/>
  <c r="BA48" i="4"/>
  <c r="BB50" i="4"/>
  <c r="BC50" i="4" s="1"/>
  <c r="BA50" i="4"/>
  <c r="BB68" i="4"/>
  <c r="BC68" i="4" s="1"/>
  <c r="BA68" i="4"/>
  <c r="BB64" i="4"/>
  <c r="BC64" i="4" s="1"/>
  <c r="BA64" i="4"/>
  <c r="BA28" i="4"/>
  <c r="BB28" i="4"/>
  <c r="BC28" i="4" s="1"/>
  <c r="BB60" i="4"/>
  <c r="BC60" i="4" s="1"/>
  <c r="BA60" i="4"/>
  <c r="BA19" i="4"/>
  <c r="BB19" i="4"/>
  <c r="BC19" i="4" s="1"/>
  <c r="BB53" i="4"/>
  <c r="BC53" i="4" s="1"/>
  <c r="BA53" i="4"/>
  <c r="BA17" i="4"/>
  <c r="BB17" i="4"/>
  <c r="BC17" i="4" s="1"/>
  <c r="BB49" i="4"/>
  <c r="BC49" i="4" s="1"/>
  <c r="BA49" i="4"/>
  <c r="BA20" i="4"/>
  <c r="BB20" i="4"/>
  <c r="BC20" i="4" s="1"/>
  <c r="BB43" i="4"/>
  <c r="BC43" i="4" s="1"/>
  <c r="BA43" i="4"/>
  <c r="BB66" i="4"/>
  <c r="BC66" i="4" s="1"/>
  <c r="BA66" i="4"/>
  <c r="BB71" i="4" l="1"/>
  <c r="BC70" i="4"/>
  <c r="O54" i="7"/>
  <c r="N55" i="7"/>
  <c r="O55" i="7" l="1"/>
  <c r="N56" i="7"/>
  <c r="N57" i="7" l="1"/>
  <c r="O56" i="7"/>
  <c r="O57" i="7" l="1"/>
  <c r="N58" i="7"/>
  <c r="N59" i="7" l="1"/>
  <c r="O58" i="7"/>
  <c r="O59" i="7" l="1"/>
  <c r="N60" i="7"/>
  <c r="N61" i="7" l="1"/>
  <c r="O60" i="7"/>
  <c r="N62" i="7" l="1"/>
  <c r="O62" i="7" s="1"/>
  <c r="O61" i="7"/>
</calcChain>
</file>

<file path=xl/sharedStrings.xml><?xml version="1.0" encoding="utf-8"?>
<sst xmlns="http://schemas.openxmlformats.org/spreadsheetml/2006/main" count="2903" uniqueCount="395">
  <si>
    <t xml:space="preserve">THE PRODUCTIVITY TOOL </t>
  </si>
  <si>
    <t>M-I Drilling Fluids Co.</t>
  </si>
  <si>
    <t>Written by:</t>
  </si>
  <si>
    <t>Mohamed B. Amish, 2003</t>
  </si>
  <si>
    <t>WELLBORE GEOMETRY</t>
  </si>
  <si>
    <t>RHEOLOGY @ standard condition</t>
  </si>
  <si>
    <t>Hole Angle</t>
  </si>
  <si>
    <t>degree</t>
  </si>
  <si>
    <t>RPM</t>
  </si>
  <si>
    <t>Reading</t>
  </si>
  <si>
    <t>Shear rate</t>
  </si>
  <si>
    <t xml:space="preserve">Shear Stress </t>
  </si>
  <si>
    <t>Bingham Plastic</t>
  </si>
  <si>
    <t>Power Law</t>
  </si>
  <si>
    <t>Herschel-Bulkley</t>
  </si>
  <si>
    <t>Maximum Impact Force at the Bit</t>
  </si>
  <si>
    <t>True Vertical Depth</t>
  </si>
  <si>
    <t>PRESSURE DISTRIBUTION</t>
  </si>
  <si>
    <t>Measured Depth</t>
  </si>
  <si>
    <t>Bist Model Fit</t>
  </si>
  <si>
    <t>200</t>
  </si>
  <si>
    <t>Hydrostatic Pressure</t>
  </si>
  <si>
    <t>psi</t>
  </si>
  <si>
    <t>100</t>
  </si>
  <si>
    <t>Bottom Hole Circulation Pressure</t>
  </si>
  <si>
    <t>6</t>
  </si>
  <si>
    <t>Equivalent Circulation Density</t>
  </si>
  <si>
    <t>ppg</t>
  </si>
  <si>
    <t>3</t>
  </si>
  <si>
    <t>Through the BHA</t>
  </si>
  <si>
    <t>RSQ =</t>
  </si>
  <si>
    <t>Across the BHA</t>
  </si>
  <si>
    <t>Through the Pipe</t>
  </si>
  <si>
    <t>CASING PARAMETERS</t>
  </si>
  <si>
    <t>Best Fit Model   =</t>
  </si>
  <si>
    <t>Across Pipe</t>
  </si>
  <si>
    <t>Casing Setting Depth</t>
  </si>
  <si>
    <t>Across Casing</t>
  </si>
  <si>
    <t>Casing I.D. Diameter</t>
  </si>
  <si>
    <t>Bit Pressure Loss</t>
  </si>
  <si>
    <t>Casing O.D. Diameter</t>
  </si>
  <si>
    <t>RHEOLOGY@ Depth of Interest   =</t>
  </si>
  <si>
    <t>ft</t>
  </si>
  <si>
    <t>Total Pressure Loss</t>
  </si>
  <si>
    <t xml:space="preserve"> Reading"</t>
  </si>
  <si>
    <t>HHP</t>
  </si>
  <si>
    <t>-</t>
  </si>
  <si>
    <t xml:space="preserve">Casing I.D. Diameter </t>
  </si>
  <si>
    <t>in</t>
  </si>
  <si>
    <t>Total Flow Area (TFA)</t>
  </si>
  <si>
    <t>in^</t>
  </si>
  <si>
    <t>Size of Nozzeles</t>
  </si>
  <si>
    <t>J1</t>
  </si>
  <si>
    <t>1/32"</t>
  </si>
  <si>
    <t>J2</t>
  </si>
  <si>
    <t>J3</t>
  </si>
  <si>
    <t>J4</t>
  </si>
  <si>
    <t>J5</t>
  </si>
  <si>
    <t>J6</t>
  </si>
  <si>
    <t>DRILLPIPE PARAMETERS</t>
  </si>
  <si>
    <t>Drillpipe  O.D.</t>
  </si>
  <si>
    <t xml:space="preserve">Herschel-Bulkley </t>
  </si>
  <si>
    <t>Drillpipe  I.D.</t>
  </si>
  <si>
    <t>RHEOLOGICAL CHARACTERISATION</t>
  </si>
  <si>
    <t>Best Fit Model</t>
  </si>
  <si>
    <t>Rheological Parameters</t>
  </si>
  <si>
    <t>True Yield</t>
  </si>
  <si>
    <t>lb/100ft^2</t>
  </si>
  <si>
    <t>BOTTOM HOLE ASSEMBLY</t>
  </si>
  <si>
    <t>Flow Index</t>
  </si>
  <si>
    <t xml:space="preserve"> Component</t>
  </si>
  <si>
    <t>Tool</t>
  </si>
  <si>
    <t>Consistency Index</t>
  </si>
  <si>
    <t>cP</t>
  </si>
  <si>
    <t>Bit sub</t>
  </si>
  <si>
    <t>Apparent Viscosity</t>
  </si>
  <si>
    <t>Mud Motor</t>
  </si>
  <si>
    <t>In annulus</t>
  </si>
  <si>
    <t>Collar</t>
  </si>
  <si>
    <t>In pipe</t>
  </si>
  <si>
    <t>Stab1</t>
  </si>
  <si>
    <t>Stab2</t>
  </si>
  <si>
    <t>PWD</t>
  </si>
  <si>
    <t>Plastic Viscosity</t>
  </si>
  <si>
    <t>Yield Point</t>
  </si>
  <si>
    <t>HWDP</t>
  </si>
  <si>
    <t>Jar</t>
  </si>
  <si>
    <t>BIT PARAMETERS</t>
  </si>
  <si>
    <t>Bit Diameter</t>
  </si>
  <si>
    <t>Maximum Hydraulic Horsepower at the Bit</t>
  </si>
  <si>
    <t>Number of Nozzles</t>
  </si>
  <si>
    <t>MUD PUMP PARAMETERS</t>
  </si>
  <si>
    <t>Pump Rate</t>
  </si>
  <si>
    <t>Pump Efficiency</t>
  </si>
  <si>
    <t>FORMATION PARAMETERS</t>
  </si>
  <si>
    <t>Formation Type</t>
  </si>
  <si>
    <t>Sandstone</t>
  </si>
  <si>
    <t>Permeability</t>
  </si>
  <si>
    <t>Porosity</t>
  </si>
  <si>
    <t>Fluid Viscosity</t>
  </si>
  <si>
    <t>Production Rate</t>
  </si>
  <si>
    <t xml:space="preserve">Fm Volume Factor </t>
  </si>
  <si>
    <t>Reservior Radius</t>
  </si>
  <si>
    <t>Reservior Thickness</t>
  </si>
  <si>
    <t>Core Length</t>
  </si>
  <si>
    <t>Core Diameter</t>
  </si>
  <si>
    <t>MUD PARAMETERS</t>
  </si>
  <si>
    <t>Mud Density</t>
  </si>
  <si>
    <t>Mean grain diameter d50</t>
  </si>
  <si>
    <t>micron</t>
  </si>
  <si>
    <t>API Static Filtration</t>
  </si>
  <si>
    <t>MUD COMPOSITION</t>
  </si>
  <si>
    <t>Component</t>
  </si>
  <si>
    <t>Name</t>
  </si>
  <si>
    <t>Specific Gravity</t>
  </si>
  <si>
    <t>Emulsifer</t>
  </si>
  <si>
    <t>Wetting</t>
  </si>
  <si>
    <t>Barite</t>
  </si>
  <si>
    <t>Drlg Solids</t>
  </si>
  <si>
    <t>FILTRATION PRESSURE</t>
  </si>
  <si>
    <t>Polymer1</t>
  </si>
  <si>
    <t>Model</t>
  </si>
  <si>
    <t>Polymer2</t>
  </si>
  <si>
    <t>Differential Pressure</t>
  </si>
  <si>
    <t>Clay HP-HT</t>
  </si>
  <si>
    <t>Pressure Drop Across Sand face</t>
  </si>
  <si>
    <t>Clay</t>
  </si>
  <si>
    <t>Pressure Drop Across Filter Cake</t>
  </si>
  <si>
    <t>Viscometer Readings</t>
  </si>
  <si>
    <t>6-speed Readings</t>
  </si>
  <si>
    <t>2-speed Readings</t>
  </si>
  <si>
    <t>STATIC FILTRATION VOLUME</t>
  </si>
  <si>
    <t>Filtrate Volume</t>
  </si>
  <si>
    <t>in^3</t>
  </si>
  <si>
    <t>DRILLING STATUS</t>
  </si>
  <si>
    <t>Drilling Time</t>
  </si>
  <si>
    <t>Static Time</t>
  </si>
  <si>
    <t>Overbalance Pressure</t>
  </si>
  <si>
    <t>Bottom Hole Temperature</t>
  </si>
  <si>
    <t>DYNAMIC FILTRATION VOLUME</t>
  </si>
  <si>
    <t>FILTER CAKE CHARACTERISTICS</t>
  </si>
  <si>
    <t>Pressure Drop Across Filtercake</t>
  </si>
  <si>
    <t>Cake mass ratio</t>
  </si>
  <si>
    <t>Density of solids</t>
  </si>
  <si>
    <t>Solids Fraction</t>
  </si>
  <si>
    <t>Density of filtrate</t>
  </si>
  <si>
    <t>Filtrate Viscosity</t>
  </si>
  <si>
    <t>Dynamic Filtrate Coefficient</t>
  </si>
  <si>
    <t>lb/ft^2 s</t>
  </si>
  <si>
    <t>Filter Cake Erodability</t>
  </si>
  <si>
    <t>lb/dyne s</t>
  </si>
  <si>
    <t>Erosional Filter Cake</t>
  </si>
  <si>
    <t>Filter Cake Thickness</t>
  </si>
  <si>
    <t>Cumulative Deposited&amp; Eroded</t>
  </si>
  <si>
    <t>Cake Resistance</t>
  </si>
  <si>
    <t>in/lb</t>
  </si>
  <si>
    <t>Medium Resistance</t>
  </si>
  <si>
    <t>1/in</t>
  </si>
  <si>
    <t>Cake Porosity</t>
  </si>
  <si>
    <t>Cake Permeability</t>
  </si>
  <si>
    <t>Darcy</t>
  </si>
  <si>
    <t>FORMATION MRPHOLOGICAL CHARACTERISTICS</t>
  </si>
  <si>
    <t>Formation Resistivity Factor</t>
  </si>
  <si>
    <t>Turtuosity</t>
  </si>
  <si>
    <t>Actual Flow Path</t>
  </si>
  <si>
    <t>Pore Troat Diameter</t>
  </si>
  <si>
    <t>Jamming Ratio</t>
  </si>
  <si>
    <t>BRIDGING</t>
  </si>
  <si>
    <t>FORMATION DAMAGE CHARACTERISTICS IN CORE ANALYSIS</t>
  </si>
  <si>
    <t xml:space="preserve"> Model</t>
  </si>
  <si>
    <t>Depth of Solids Invasion</t>
  </si>
  <si>
    <t>Dynamic Linear Filtrate Invasion</t>
  </si>
  <si>
    <t>Static Linear Filtrate of Invasion</t>
  </si>
  <si>
    <t>Total Depth of Invasion</t>
  </si>
  <si>
    <t>Average Linear Permeability</t>
  </si>
  <si>
    <t>md</t>
  </si>
  <si>
    <t>Linear Permeability Damaged</t>
  </si>
  <si>
    <t>Skin Damage</t>
  </si>
  <si>
    <t>FORMATION DAMAGE CHARACTERISTICS IN RADIAL FLOW</t>
  </si>
  <si>
    <t>Dynamic Length of Filtrate Invasion</t>
  </si>
  <si>
    <t>Static Length of Filtrate Invasion</t>
  </si>
  <si>
    <t>Total Filtrate invasion</t>
  </si>
  <si>
    <t>Average Radial Permeability</t>
  </si>
  <si>
    <t>Radial Permeability Damaged</t>
  </si>
  <si>
    <t>WELL FLOW PERFORMANCE</t>
  </si>
  <si>
    <t>Actual Productivity Index</t>
  </si>
  <si>
    <t>STB/D/psi</t>
  </si>
  <si>
    <t>Ideal Productivity Index</t>
  </si>
  <si>
    <t>Flow Efficiency</t>
  </si>
  <si>
    <t>Damage Factor</t>
  </si>
  <si>
    <t>OIL BASED MUD PRODUCTVITY TOOL</t>
  </si>
  <si>
    <t>LN(AM867/(Sheet11!G36/2))/((LN((Sheet11!H52*12)/(Sheet11!G36/2))/AM868)-LN((Sheet11!H52*12)/AM867)/Sheet11!H47)</t>
  </si>
  <si>
    <t>Radial conversion</t>
  </si>
  <si>
    <t>Radius</t>
  </si>
  <si>
    <t>Core Area</t>
  </si>
  <si>
    <t>shear stress</t>
  </si>
  <si>
    <t>PERUNIT AREA</t>
  </si>
  <si>
    <t>dynamic wbm</t>
  </si>
  <si>
    <t xml:space="preserve">static </t>
  </si>
  <si>
    <t>CHECK</t>
  </si>
  <si>
    <t>Conversion</t>
  </si>
  <si>
    <t>F</t>
  </si>
  <si>
    <t>FC</t>
  </si>
  <si>
    <t>WBM</t>
  </si>
  <si>
    <t>STATIC</t>
  </si>
  <si>
    <t>FM</t>
  </si>
  <si>
    <t>AK</t>
  </si>
  <si>
    <t>KA/KI</t>
  </si>
  <si>
    <t>KD</t>
  </si>
  <si>
    <t>Kd/KI</t>
  </si>
  <si>
    <t>DEPTH</t>
  </si>
  <si>
    <t>SKIN</t>
  </si>
  <si>
    <t>NPV</t>
  </si>
  <si>
    <t>TIME</t>
  </si>
  <si>
    <t>INVASION</t>
  </si>
  <si>
    <t>average K</t>
  </si>
  <si>
    <t>kd</t>
  </si>
  <si>
    <t>C</t>
  </si>
  <si>
    <t>V</t>
  </si>
  <si>
    <t>P</t>
  </si>
  <si>
    <t>damage K</t>
  </si>
  <si>
    <t>av.permeability</t>
  </si>
  <si>
    <t>invasion</t>
  </si>
  <si>
    <t>pressure</t>
  </si>
  <si>
    <t>Mud Pumpe Type</t>
  </si>
  <si>
    <t>Length/ft</t>
  </si>
  <si>
    <t>I.D./ inch</t>
  </si>
  <si>
    <t>O.D. / inch</t>
  </si>
  <si>
    <t>gpm</t>
  </si>
  <si>
    <t>inches</t>
  </si>
  <si>
    <t>Number of Nozzeles</t>
  </si>
  <si>
    <t>Creteria</t>
  </si>
  <si>
    <t>hours</t>
  </si>
  <si>
    <t>INPUT PARAMETERS</t>
  </si>
  <si>
    <t>Wt./Lbs</t>
  </si>
  <si>
    <t>bpd</t>
  </si>
  <si>
    <t>STATIC COMPARISON</t>
  </si>
  <si>
    <t>cm</t>
  </si>
  <si>
    <t>Shear Rate</t>
  </si>
  <si>
    <t>BP</t>
  </si>
  <si>
    <t>PL</t>
  </si>
  <si>
    <t>MPL</t>
  </si>
  <si>
    <t>PV</t>
  </si>
  <si>
    <t>YP</t>
  </si>
  <si>
    <t>n</t>
  </si>
  <si>
    <t>K</t>
  </si>
  <si>
    <t>Yo</t>
  </si>
  <si>
    <t>OBM</t>
  </si>
  <si>
    <t>k</t>
  </si>
  <si>
    <t>RHEOLOGY@ Depth of Interest</t>
  </si>
  <si>
    <t>velocity</t>
  </si>
  <si>
    <t xml:space="preserve">OBM Coefficients </t>
  </si>
  <si>
    <t>A</t>
  </si>
  <si>
    <t>PSI</t>
  </si>
  <si>
    <t>B</t>
  </si>
  <si>
    <t>DYNAMIC COMPARISON</t>
  </si>
  <si>
    <t>Velocity in annulus</t>
  </si>
  <si>
    <t>Velocity in DC</t>
  </si>
  <si>
    <t>DC</t>
  </si>
  <si>
    <t>Wall Shear Rate</t>
  </si>
  <si>
    <t>Velocity in DP</t>
  </si>
  <si>
    <t>DP</t>
  </si>
  <si>
    <t>Rotational Speed</t>
  </si>
  <si>
    <t>D</t>
  </si>
  <si>
    <t>Re</t>
  </si>
  <si>
    <t>PRESSURE LOSS</t>
  </si>
  <si>
    <t>Apparent</t>
  </si>
  <si>
    <t>=</t>
  </si>
  <si>
    <t>f</t>
  </si>
  <si>
    <t>TURBULENT</t>
  </si>
  <si>
    <t>L. Pressure Loss</t>
  </si>
  <si>
    <t>f. Factor</t>
  </si>
  <si>
    <t>T. P.loss</t>
  </si>
  <si>
    <t>discharge coefficient</t>
  </si>
  <si>
    <t>cd</t>
  </si>
  <si>
    <t>hrs</t>
  </si>
  <si>
    <t>pressure loss inside BHA &amp; DP</t>
  </si>
  <si>
    <t>T. Pressure Loss in DC</t>
  </si>
  <si>
    <t>LAMINAR</t>
  </si>
  <si>
    <t>T. Pressure Loss IN DP</t>
  </si>
  <si>
    <t>Total loss</t>
  </si>
  <si>
    <t>surface loss</t>
  </si>
  <si>
    <t>TOTAL</t>
  </si>
  <si>
    <t>Impact</t>
  </si>
  <si>
    <t>T. P.Loss</t>
  </si>
  <si>
    <t>P pump</t>
  </si>
  <si>
    <t>CSG</t>
  </si>
  <si>
    <t>P bit</t>
  </si>
  <si>
    <t>Bottom hole circulation pressure</t>
  </si>
  <si>
    <t>TFA</t>
  </si>
  <si>
    <t>INCH^2</t>
  </si>
  <si>
    <t>N1</t>
  </si>
  <si>
    <t>Total annular pressure loss</t>
  </si>
  <si>
    <t>N2</t>
  </si>
  <si>
    <t>N3</t>
  </si>
  <si>
    <t>N4</t>
  </si>
  <si>
    <t>FILTRATION ANALYSIS</t>
  </si>
  <si>
    <t>N5</t>
  </si>
  <si>
    <t>Static Filtartion</t>
  </si>
  <si>
    <t>Dynamic Filtartion</t>
  </si>
  <si>
    <t>N6</t>
  </si>
  <si>
    <t>Coefficients</t>
  </si>
  <si>
    <t>a2</t>
  </si>
  <si>
    <t>c1</t>
  </si>
  <si>
    <t>a1</t>
  </si>
  <si>
    <t>c2</t>
  </si>
  <si>
    <t>c3</t>
  </si>
  <si>
    <t>Time</t>
  </si>
  <si>
    <t>HOLE</t>
  </si>
  <si>
    <t>Pressure Drop Across Medium</t>
  </si>
  <si>
    <t>Actual Core Radius</t>
  </si>
  <si>
    <t>BHT temp.</t>
  </si>
  <si>
    <t>ECP</t>
  </si>
  <si>
    <t xml:space="preserve">Porosity </t>
  </si>
  <si>
    <t>Turtosity</t>
  </si>
  <si>
    <t>Output Data</t>
  </si>
  <si>
    <t>Wt.</t>
  </si>
  <si>
    <t>Density/ kg/m^3</t>
  </si>
  <si>
    <t>Bulk Volume</t>
  </si>
  <si>
    <t>cm^2</t>
  </si>
  <si>
    <t>Bentonite</t>
  </si>
  <si>
    <t>C. Soda</t>
  </si>
  <si>
    <t>Area</t>
  </si>
  <si>
    <t>Flow Rate</t>
  </si>
  <si>
    <t>cm/s</t>
  </si>
  <si>
    <t>Pore Throat Velocity</t>
  </si>
  <si>
    <t>cm/sec</t>
  </si>
  <si>
    <t>Dispersant1</t>
  </si>
  <si>
    <t>Despersant2</t>
  </si>
  <si>
    <t>FIELD UNITS</t>
  </si>
  <si>
    <t>FORMATION DAMAGE CHARACTERISTICS IN LINEAR FLOW</t>
  </si>
  <si>
    <t>Solids Invasion Model</t>
  </si>
  <si>
    <t>Solids Invasion</t>
  </si>
  <si>
    <t>m</t>
  </si>
  <si>
    <t>static</t>
  </si>
  <si>
    <t>m^2</t>
  </si>
  <si>
    <t>SQRT(((2*$H$6/2*B150*60)/$O$82*((1-($K$107*$K$109))*$G$108/($K$110*$K$109))*60*39.37+($H$6/2)^2))</t>
  </si>
  <si>
    <t>stdev.</t>
  </si>
  <si>
    <t>Fm Pore Pressure</t>
  </si>
  <si>
    <t>((C46*C43)*60*Sheet10!AM629*Sheet11!H54/((C43*(J48/14.7))))*1000)</t>
  </si>
  <si>
    <t>DEPTH OF INVASION IN LINEAR FLOW</t>
  </si>
  <si>
    <t xml:space="preserve"> </t>
  </si>
  <si>
    <t>BH</t>
  </si>
  <si>
    <t>Wellbore Radius</t>
  </si>
  <si>
    <t>Inch</t>
  </si>
  <si>
    <t>Total Radius of Damage</t>
  </si>
  <si>
    <t>Fig (6) Filtei cake build up versus time for OBM</t>
  </si>
  <si>
    <t>in^2</t>
  </si>
  <si>
    <t>Density</t>
  </si>
  <si>
    <t>Actual Wellbore Radius</t>
  </si>
  <si>
    <t>IF($E$224&lt;=1,ABS(1/((Sheet11!$H$54/CE33)-((Sheet11!$H$54)/Sheet11!$H$47))),($E$224/((Sheet11!$H$54/CE33)-((Sheet11!$H$54-CI33)/Sheet11!$H$47))))</t>
  </si>
  <si>
    <t>Kdamage</t>
  </si>
  <si>
    <t>K average</t>
  </si>
  <si>
    <t>core invasion</t>
  </si>
  <si>
    <t>static fluid loss</t>
  </si>
  <si>
    <t>hole invasion</t>
  </si>
  <si>
    <t>FIELD</t>
  </si>
  <si>
    <t>6-SPEED</t>
  </si>
  <si>
    <t>IF(DDDDDD!C7="FIELD",Sheet2!D317,Sheet2!D317*0.000000000000000987)</t>
  </si>
  <si>
    <t>POROSITY</t>
  </si>
  <si>
    <t>Sheet2!D318</t>
  </si>
  <si>
    <t>Readings</t>
  </si>
  <si>
    <t>cc</t>
  </si>
  <si>
    <t>VISCOMETER READING</t>
  </si>
  <si>
    <t>Herschel-Bulkley Model</t>
  </si>
  <si>
    <t xml:space="preserve">WBM Coefficients </t>
  </si>
  <si>
    <t>A=</t>
  </si>
  <si>
    <t>B =</t>
  </si>
  <si>
    <t>C =</t>
  </si>
  <si>
    <t>hhp</t>
  </si>
  <si>
    <t>0</t>
  </si>
  <si>
    <t xml:space="preserve">Hydraulic Horsepower </t>
  </si>
  <si>
    <t>RHEOLOGY</t>
  </si>
  <si>
    <t>Maximum Impact Force at The Bit</t>
  </si>
  <si>
    <t>Bingham Platic</t>
  </si>
  <si>
    <t>Bingham Model</t>
  </si>
  <si>
    <t>RHEOLOGY@ Depth of Interest  =</t>
  </si>
  <si>
    <t xml:space="preserve"> Reading</t>
  </si>
  <si>
    <t>Hydraulic Horsepower</t>
  </si>
  <si>
    <t>1/32nd</t>
  </si>
  <si>
    <t>Maximum Hydraulic Horsepower at The Bit</t>
  </si>
  <si>
    <t>Dispersant2</t>
  </si>
  <si>
    <t>lb/ dyne s</t>
  </si>
  <si>
    <t>WATER BASED MUD PRODUCTVITY TOOL</t>
  </si>
  <si>
    <t>SKIN HOLE</t>
  </si>
  <si>
    <t>((1/((1-Sheet2!BQ891)*Sheet2!BQ880))*Sheet2!BQ885*(G122*60)/(G129)*100)*20,40))</t>
  </si>
  <si>
    <t>Length/m</t>
  </si>
  <si>
    <t>I.D./m</t>
  </si>
  <si>
    <t>O.D./m</t>
  </si>
  <si>
    <t>m^3/s</t>
  </si>
  <si>
    <t>Pascal/s</t>
  </si>
  <si>
    <t>Kg/m^3</t>
  </si>
  <si>
    <t>Wt./Kg</t>
  </si>
  <si>
    <t>KPa</t>
  </si>
  <si>
    <t>Kelvin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</si>
</sst>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"/>
  </numFmts>
  <fonts count="46" x14ac:knownFonts="1">
    <font>
      <sz val="10"/>
      <name val="Arial"/>
      <family val="2"/>
    </font>
    <font>
      <i/>
      <sz val="11"/>
      <name val="Times New Roman"/>
      <family val="1"/>
    </font>
    <font>
      <b/>
      <sz val="14"/>
      <color rgb="FF0000FF"/>
      <name val="Times New Roman"/>
      <family val="1"/>
    </font>
    <font>
      <b/>
      <sz val="11"/>
      <color rgb="FF0000FF"/>
      <name val="Times New Roman"/>
      <family val="1"/>
    </font>
    <font>
      <b/>
      <sz val="10"/>
      <name val="Times New Roman"/>
      <family val="1"/>
    </font>
    <font>
      <sz val="11"/>
      <color rgb="FFFF0000"/>
      <name val="Times New Roman"/>
      <family val="1"/>
    </font>
    <font>
      <b/>
      <sz val="11"/>
      <name val="Times New Roman"/>
      <family val="1"/>
    </font>
    <font>
      <sz val="14"/>
      <color rgb="FFFFFFFF"/>
      <name val="Times New Roman"/>
      <family val="1"/>
    </font>
    <font>
      <b/>
      <sz val="10"/>
      <name val="Arial"/>
      <family val="2"/>
    </font>
    <font>
      <sz val="12"/>
      <name val="Times New Roman"/>
      <family val="1"/>
    </font>
    <font>
      <sz val="14"/>
      <name val="Times New Roman"/>
      <family val="1"/>
    </font>
    <font>
      <i/>
      <sz val="12"/>
      <name val="Times New Roman"/>
      <family val="1"/>
    </font>
    <font>
      <sz val="11"/>
      <name val="Times New Roman"/>
    </font>
    <font>
      <b/>
      <sz val="11"/>
      <color rgb="FFFFFFFF"/>
      <name val="Times New Roman"/>
      <family val="1"/>
    </font>
    <font>
      <sz val="11"/>
      <color rgb="FFFFFF00"/>
      <name val="Times New Roman"/>
      <family val="1"/>
    </font>
    <font>
      <i/>
      <sz val="10"/>
      <name val="Times New Roman"/>
      <family val="1"/>
    </font>
    <font>
      <b/>
      <sz val="14"/>
      <color rgb="FFFFFFFF"/>
      <name val="Times New Roman"/>
      <family val="1"/>
    </font>
    <font>
      <sz val="11"/>
      <color rgb="FF0000FF"/>
      <name val="Times New Roman"/>
      <family val="1"/>
    </font>
    <font>
      <sz val="12"/>
      <color rgb="FF000000"/>
      <name val="Times New Roman"/>
      <family val="1"/>
    </font>
    <font>
      <sz val="14"/>
      <color rgb="FF000000"/>
      <name val="Times New Roman"/>
      <family val="1"/>
    </font>
    <font>
      <i/>
      <sz val="12"/>
      <color rgb="FF000000"/>
      <name val="Times New Roman"/>
      <family val="1"/>
    </font>
    <font>
      <sz val="11"/>
      <color rgb="FFFFFFFF"/>
      <name val="Times New Roman"/>
      <family val="1"/>
    </font>
    <font>
      <b/>
      <u/>
      <sz val="11"/>
      <name val="Times New Roman"/>
      <family val="1"/>
    </font>
    <font>
      <u/>
      <sz val="11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</font>
    <font>
      <b/>
      <sz val="11"/>
      <color rgb="FF00FF00"/>
      <name val="Times New Roman"/>
      <family val="1"/>
    </font>
    <font>
      <b/>
      <sz val="10"/>
      <color rgb="FFFFFFFF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0"/>
      <color rgb="FF000000"/>
      <name val="Times New Roman"/>
      <family val="1"/>
    </font>
    <font>
      <i/>
      <sz val="9"/>
      <name val="Times New Roman"/>
      <family val="1"/>
    </font>
    <font>
      <sz val="11"/>
      <color rgb="FF000000"/>
      <name val="Times New Roman"/>
    </font>
    <font>
      <sz val="8"/>
      <name val="Times New Roman"/>
      <family val="1"/>
    </font>
    <font>
      <sz val="14"/>
      <color rgb="FF000000"/>
      <name val="Times New Roman"/>
    </font>
    <font>
      <b/>
      <sz val="14"/>
      <color rgb="FF000000"/>
      <name val="Arial"/>
      <family val="2"/>
    </font>
    <font>
      <b/>
      <sz val="14"/>
      <color rgb="FF000000"/>
      <name val="Times New Roman"/>
      <family val="1"/>
    </font>
    <font>
      <sz val="11"/>
      <color rgb="FFFF0000"/>
      <name val="Times New Roman"/>
    </font>
    <font>
      <b/>
      <sz val="9"/>
      <color rgb="FFFFFFFF"/>
      <name val="Times New Roman"/>
      <family val="1"/>
    </font>
    <font>
      <sz val="9"/>
      <name val="Times New Roman"/>
      <family val="1"/>
    </font>
    <font>
      <sz val="14"/>
      <name val="Times New Roman"/>
    </font>
    <font>
      <i/>
      <sz val="11"/>
      <color rgb="FF000000"/>
      <name val="Times New Roman"/>
      <family val="1"/>
    </font>
    <font>
      <sz val="12"/>
      <color rgb="FFFF0000"/>
      <name val="Times New Roman"/>
      <family val="1"/>
    </font>
    <font>
      <sz val="12"/>
      <color rgb="FF000000"/>
      <name val="Times New Roman"/>
    </font>
    <font>
      <sz val="12"/>
      <color rgb="FF000000"/>
      <name val="Arial"/>
      <family val="2"/>
    </font>
    <font>
      <sz val="11"/>
      <color rgb="FF000000"/>
      <name val="Arial"/>
    </font>
  </fonts>
  <fills count="1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3366FF"/>
        <bgColor rgb="FF0066CC"/>
      </patternFill>
    </fill>
    <fill>
      <patternFill patternType="solid">
        <fgColor rgb="FFC0C0C0"/>
        <bgColor rgb="FFD0D0D0"/>
      </patternFill>
    </fill>
    <fill>
      <patternFill patternType="solid">
        <fgColor rgb="FFFFFFFF"/>
        <bgColor rgb="FFFFFFCC"/>
      </patternFill>
    </fill>
    <fill>
      <patternFill patternType="solid">
        <fgColor rgb="FFFF99CC"/>
        <bgColor rgb="FFFF8080"/>
      </patternFill>
    </fill>
    <fill>
      <patternFill patternType="solid">
        <fgColor rgb="FFCCFFFF"/>
        <bgColor rgb="FFCCFFCC"/>
      </patternFill>
    </fill>
    <fill>
      <patternFill patternType="solid">
        <fgColor rgb="FFCCFFCC"/>
        <bgColor rgb="FFCCFFFF"/>
      </patternFill>
    </fill>
    <fill>
      <patternFill patternType="solid">
        <fgColor rgb="FFFFFF99"/>
        <bgColor rgb="FFFFFFCC"/>
      </patternFill>
    </fill>
    <fill>
      <patternFill patternType="solid">
        <fgColor rgb="FFFF00FF"/>
        <bgColor rgb="FFFF00FF"/>
      </patternFill>
    </fill>
    <fill>
      <patternFill patternType="solid">
        <fgColor rgb="FF0000FF"/>
        <bgColor rgb="FF0000FF"/>
      </patternFill>
    </fill>
    <fill>
      <patternFill patternType="solid">
        <fgColor rgb="FFFFCC99"/>
        <bgColor rgb="FFD9D9D9"/>
      </patternFill>
    </fill>
  </fills>
  <borders count="6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28">
    <xf numFmtId="0" fontId="0" fillId="0" borderId="0" xfId="0"/>
    <xf numFmtId="2" fontId="0" fillId="0" borderId="0" xfId="0" applyNumberFormat="1"/>
    <xf numFmtId="2" fontId="1" fillId="0" borderId="0" xfId="0" applyNumberFormat="1" applyFont="1"/>
    <xf numFmtId="0" fontId="2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11" fontId="3" fillId="2" borderId="2" xfId="0" applyNumberFormat="1" applyFont="1" applyFill="1" applyBorder="1" applyAlignment="1">
      <alignment horizontal="left"/>
    </xf>
    <xf numFmtId="11" fontId="3" fillId="2" borderId="3" xfId="0" applyNumberFormat="1" applyFont="1" applyFill="1" applyBorder="1" applyAlignment="1">
      <alignment horizontal="left"/>
    </xf>
    <xf numFmtId="11" fontId="0" fillId="0" borderId="0" xfId="0" applyNumberFormat="1"/>
    <xf numFmtId="11" fontId="4" fillId="0" borderId="0" xfId="0" applyNumberFormat="1" applyFont="1"/>
    <xf numFmtId="2" fontId="0" fillId="0" borderId="0" xfId="0" applyNumberFormat="1" applyProtection="1">
      <protection hidden="1"/>
    </xf>
    <xf numFmtId="2" fontId="5" fillId="0" borderId="0" xfId="0" applyNumberFormat="1" applyFont="1"/>
    <xf numFmtId="0" fontId="6" fillId="0" borderId="0" xfId="0" applyFont="1"/>
    <xf numFmtId="2" fontId="6" fillId="0" borderId="0" xfId="0" applyNumberFormat="1" applyFont="1"/>
    <xf numFmtId="2" fontId="7" fillId="3" borderId="4" xfId="0" applyNumberFormat="1" applyFont="1" applyFill="1" applyBorder="1" applyAlignment="1">
      <alignment horizontal="left"/>
    </xf>
    <xf numFmtId="2" fontId="7" fillId="3" borderId="5" xfId="0" applyNumberFormat="1" applyFont="1" applyFill="1" applyBorder="1" applyAlignment="1">
      <alignment horizontal="left"/>
    </xf>
    <xf numFmtId="1" fontId="7" fillId="3" borderId="5" xfId="0" applyNumberFormat="1" applyFont="1" applyFill="1" applyBorder="1" applyAlignment="1">
      <alignment horizontal="center"/>
    </xf>
    <xf numFmtId="0" fontId="7" fillId="3" borderId="6" xfId="0" applyFont="1" applyFill="1" applyBorder="1"/>
    <xf numFmtId="0" fontId="0" fillId="0" borderId="0" xfId="0" applyProtection="1">
      <protection hidden="1"/>
    </xf>
    <xf numFmtId="2" fontId="8" fillId="0" borderId="0" xfId="0" applyNumberFormat="1" applyFont="1" applyProtection="1">
      <protection hidden="1"/>
    </xf>
    <xf numFmtId="0" fontId="0" fillId="0" borderId="0" xfId="0" applyProtection="1">
      <protection locked="0"/>
    </xf>
    <xf numFmtId="2" fontId="9" fillId="4" borderId="7" xfId="0" applyNumberFormat="1" applyFont="1" applyFill="1" applyBorder="1" applyAlignment="1">
      <alignment horizontal="left"/>
    </xf>
    <xf numFmtId="2" fontId="9" fillId="4" borderId="8" xfId="0" applyNumberFormat="1" applyFont="1" applyFill="1" applyBorder="1" applyAlignment="1">
      <alignment horizontal="left"/>
    </xf>
    <xf numFmtId="1" fontId="10" fillId="5" borderId="8" xfId="0" applyNumberFormat="1" applyFont="1" applyFill="1" applyBorder="1" applyAlignment="1" applyProtection="1">
      <alignment horizontal="center"/>
      <protection locked="0"/>
    </xf>
    <xf numFmtId="0" fontId="11" fillId="4" borderId="9" xfId="0" applyFont="1" applyFill="1" applyBorder="1" applyAlignment="1">
      <alignment horizontal="center"/>
    </xf>
    <xf numFmtId="2" fontId="8" fillId="6" borderId="10" xfId="0" applyNumberFormat="1" applyFont="1" applyFill="1" applyBorder="1" applyAlignment="1" applyProtection="1">
      <alignment horizontal="center"/>
      <protection hidden="1"/>
    </xf>
    <xf numFmtId="2" fontId="8" fillId="6" borderId="11" xfId="0" applyNumberFormat="1" applyFont="1" applyFill="1" applyBorder="1" applyAlignment="1" applyProtection="1">
      <alignment vertical="center" wrapText="1"/>
      <protection hidden="1"/>
    </xf>
    <xf numFmtId="2" fontId="8" fillId="6" borderId="12" xfId="0" applyNumberFormat="1" applyFont="1" applyFill="1" applyBorder="1" applyAlignment="1" applyProtection="1">
      <alignment vertical="center" wrapText="1"/>
      <protection hidden="1"/>
    </xf>
    <xf numFmtId="2" fontId="8" fillId="6" borderId="12" xfId="0" applyNumberFormat="1" applyFont="1" applyFill="1" applyBorder="1" applyProtection="1">
      <protection hidden="1"/>
    </xf>
    <xf numFmtId="2" fontId="8" fillId="7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2" fontId="9" fillId="4" borderId="13" xfId="0" applyNumberFormat="1" applyFont="1" applyFill="1" applyBorder="1" applyAlignment="1">
      <alignment horizontal="left"/>
    </xf>
    <xf numFmtId="2" fontId="9" fillId="4" borderId="14" xfId="0" applyNumberFormat="1" applyFont="1" applyFill="1" applyBorder="1" applyAlignment="1">
      <alignment horizontal="left"/>
    </xf>
    <xf numFmtId="1" fontId="10" fillId="5" borderId="14" xfId="0" applyNumberFormat="1" applyFont="1" applyFill="1" applyBorder="1" applyAlignment="1" applyProtection="1">
      <alignment horizontal="center"/>
      <protection locked="0"/>
    </xf>
    <xf numFmtId="11" fontId="11" fillId="4" borderId="15" xfId="0" applyNumberFormat="1" applyFont="1" applyFill="1" applyBorder="1" applyAlignment="1">
      <alignment horizontal="center"/>
    </xf>
    <xf numFmtId="2" fontId="12" fillId="8" borderId="7" xfId="0" applyNumberFormat="1" applyFont="1" applyFill="1" applyBorder="1" applyAlignment="1" applyProtection="1">
      <alignment horizontal="center"/>
      <protection hidden="1"/>
    </xf>
    <xf numFmtId="2" fontId="0" fillId="8" borderId="8" xfId="0" applyNumberFormat="1" applyFill="1" applyBorder="1" applyAlignment="1" applyProtection="1">
      <alignment horizontal="center"/>
      <protection hidden="1"/>
    </xf>
    <xf numFmtId="2" fontId="12" fillId="8" borderId="8" xfId="0" applyNumberFormat="1" applyFont="1" applyFill="1" applyBorder="1" applyAlignment="1" applyProtection="1">
      <alignment horizontal="center"/>
      <protection hidden="1"/>
    </xf>
    <xf numFmtId="2" fontId="12" fillId="9" borderId="8" xfId="0" applyNumberFormat="1" applyFont="1" applyFill="1" applyBorder="1" applyAlignment="1" applyProtection="1">
      <alignment horizontal="center"/>
      <protection hidden="1"/>
    </xf>
    <xf numFmtId="2" fontId="12" fillId="9" borderId="9" xfId="0" applyNumberFormat="1" applyFont="1" applyFill="1" applyBorder="1" applyAlignment="1" applyProtection="1">
      <alignment horizontal="center"/>
      <protection hidden="1"/>
    </xf>
    <xf numFmtId="0" fontId="13" fillId="3" borderId="16" xfId="0" applyFont="1" applyFill="1" applyBorder="1" applyProtection="1">
      <protection hidden="1"/>
    </xf>
    <xf numFmtId="0" fontId="0" fillId="3" borderId="17" xfId="0" applyFill="1" applyBorder="1" applyProtection="1">
      <protection hidden="1"/>
    </xf>
    <xf numFmtId="0" fontId="0" fillId="3" borderId="6" xfId="0" applyFill="1" applyBorder="1" applyProtection="1">
      <protection hidden="1"/>
    </xf>
    <xf numFmtId="2" fontId="12" fillId="8" borderId="18" xfId="0" applyNumberFormat="1" applyFont="1" applyFill="1" applyBorder="1" applyAlignment="1" applyProtection="1">
      <alignment horizontal="center"/>
      <protection hidden="1"/>
    </xf>
    <xf numFmtId="2" fontId="0" fillId="8" borderId="19" xfId="0" applyNumberFormat="1" applyFill="1" applyBorder="1" applyAlignment="1" applyProtection="1">
      <alignment horizontal="center"/>
      <protection hidden="1"/>
    </xf>
    <xf numFmtId="2" fontId="12" fillId="8" borderId="19" xfId="0" applyNumberFormat="1" applyFont="1" applyFill="1" applyBorder="1" applyAlignment="1" applyProtection="1">
      <alignment horizontal="center"/>
      <protection hidden="1"/>
    </xf>
    <xf numFmtId="2" fontId="12" fillId="9" borderId="19" xfId="0" applyNumberFormat="1" applyFont="1" applyFill="1" applyBorder="1" applyAlignment="1" applyProtection="1">
      <alignment horizontal="center"/>
      <protection hidden="1"/>
    </xf>
    <xf numFmtId="2" fontId="12" fillId="9" borderId="20" xfId="0" applyNumberFormat="1" applyFont="1" applyFill="1" applyBorder="1" applyAlignment="1" applyProtection="1">
      <alignment horizontal="center"/>
      <protection hidden="1"/>
    </xf>
    <xf numFmtId="2" fontId="0" fillId="4" borderId="14" xfId="0" applyNumberFormat="1" applyFill="1" applyBorder="1" applyProtection="1">
      <protection hidden="1"/>
    </xf>
    <xf numFmtId="0" fontId="0" fillId="4" borderId="14" xfId="0" applyFill="1" applyBorder="1" applyProtection="1">
      <protection hidden="1"/>
    </xf>
    <xf numFmtId="2" fontId="14" fillId="6" borderId="21" xfId="0" applyNumberFormat="1" applyFont="1" applyFill="1" applyBorder="1" applyProtection="1">
      <protection hidden="1"/>
    </xf>
    <xf numFmtId="2" fontId="14" fillId="6" borderId="8" xfId="0" applyNumberFormat="1" applyFont="1" applyFill="1" applyBorder="1" applyProtection="1">
      <protection hidden="1"/>
    </xf>
    <xf numFmtId="0" fontId="0" fillId="4" borderId="6" xfId="0" applyFill="1" applyBorder="1" applyProtection="1">
      <protection hidden="1"/>
    </xf>
    <xf numFmtId="2" fontId="0" fillId="8" borderId="14" xfId="0" applyNumberFormat="1" applyFill="1" applyBorder="1" applyAlignment="1" applyProtection="1">
      <alignment horizontal="center"/>
      <protection hidden="1"/>
    </xf>
    <xf numFmtId="0" fontId="15" fillId="4" borderId="22" xfId="0" applyFont="1" applyFill="1" applyBorder="1" applyAlignment="1" applyProtection="1">
      <alignment horizontal="center"/>
      <protection hidden="1"/>
    </xf>
    <xf numFmtId="0" fontId="0" fillId="0" borderId="0" xfId="0" applyProtection="1">
      <protection locked="0" hidden="1"/>
    </xf>
    <xf numFmtId="2" fontId="12" fillId="8" borderId="23" xfId="0" applyNumberFormat="1" applyFont="1" applyFill="1" applyBorder="1" applyAlignment="1" applyProtection="1">
      <alignment horizontal="center"/>
      <protection hidden="1"/>
    </xf>
    <xf numFmtId="2" fontId="0" fillId="8" borderId="24" xfId="0" applyNumberFormat="1" applyFill="1" applyBorder="1" applyAlignment="1" applyProtection="1">
      <alignment horizontal="center"/>
      <protection hidden="1"/>
    </xf>
    <xf numFmtId="2" fontId="12" fillId="8" borderId="24" xfId="0" applyNumberFormat="1" applyFont="1" applyFill="1" applyBorder="1" applyAlignment="1" applyProtection="1">
      <alignment horizontal="center"/>
      <protection hidden="1"/>
    </xf>
    <xf numFmtId="2" fontId="12" fillId="9" borderId="24" xfId="0" applyNumberFormat="1" applyFont="1" applyFill="1" applyBorder="1" applyAlignment="1" applyProtection="1">
      <alignment horizontal="center"/>
      <protection hidden="1"/>
    </xf>
    <xf numFmtId="2" fontId="12" fillId="9" borderId="25" xfId="0" applyNumberFormat="1" applyFont="1" applyFill="1" applyBorder="1" applyAlignment="1" applyProtection="1">
      <alignment horizontal="center"/>
      <protection hidden="1"/>
    </xf>
    <xf numFmtId="2" fontId="8" fillId="7" borderId="19" xfId="0" applyNumberFormat="1" applyFont="1" applyFill="1" applyBorder="1" applyAlignment="1" applyProtection="1">
      <alignment horizontal="center"/>
      <protection hidden="1"/>
    </xf>
    <xf numFmtId="164" fontId="8" fillId="7" borderId="19" xfId="0" applyNumberFormat="1" applyFont="1" applyFill="1" applyBorder="1" applyAlignment="1" applyProtection="1">
      <alignment horizontal="center"/>
      <protection hidden="1"/>
    </xf>
    <xf numFmtId="0" fontId="16" fillId="3" borderId="16" xfId="0" applyFont="1" applyFill="1" applyBorder="1"/>
    <xf numFmtId="0" fontId="0" fillId="3" borderId="17" xfId="0" applyFill="1" applyBorder="1"/>
    <xf numFmtId="0" fontId="16" fillId="3" borderId="17" xfId="0" applyFont="1" applyFill="1" applyBorder="1"/>
    <xf numFmtId="0" fontId="16" fillId="3" borderId="6" xfId="0" applyFont="1" applyFill="1" applyBorder="1"/>
    <xf numFmtId="2" fontId="17" fillId="0" borderId="0" xfId="0" applyNumberFormat="1" applyFont="1" applyProtection="1">
      <protection hidden="1"/>
    </xf>
    <xf numFmtId="2" fontId="9" fillId="4" borderId="26" xfId="0" applyNumberFormat="1" applyFont="1" applyFill="1" applyBorder="1" applyAlignment="1">
      <alignment horizontal="left"/>
    </xf>
    <xf numFmtId="1" fontId="10" fillId="0" borderId="27" xfId="0" applyNumberFormat="1" applyFont="1" applyBorder="1" applyAlignment="1" applyProtection="1">
      <alignment horizontal="center"/>
      <protection locked="0"/>
    </xf>
    <xf numFmtId="11" fontId="11" fillId="4" borderId="28" xfId="0" applyNumberFormat="1" applyFont="1" applyFill="1" applyBorder="1" applyAlignment="1">
      <alignment horizontal="center"/>
    </xf>
    <xf numFmtId="2" fontId="9" fillId="4" borderId="29" xfId="0" applyNumberFormat="1" applyFont="1" applyFill="1" applyBorder="1" applyAlignment="1">
      <alignment horizontal="left"/>
    </xf>
    <xf numFmtId="2" fontId="10" fillId="0" borderId="30" xfId="0" applyNumberFormat="1" applyFont="1" applyBorder="1" applyAlignment="1" applyProtection="1">
      <alignment horizontal="center"/>
      <protection locked="0"/>
    </xf>
    <xf numFmtId="2" fontId="11" fillId="4" borderId="31" xfId="0" applyNumberFormat="1" applyFont="1" applyFill="1" applyBorder="1" applyAlignment="1">
      <alignment horizontal="center"/>
    </xf>
    <xf numFmtId="2" fontId="18" fillId="4" borderId="32" xfId="0" applyNumberFormat="1" applyFont="1" applyFill="1" applyBorder="1" applyAlignment="1">
      <alignment horizontal="left"/>
    </xf>
    <xf numFmtId="2" fontId="18" fillId="4" borderId="33" xfId="0" applyNumberFormat="1" applyFont="1" applyFill="1" applyBorder="1" applyAlignment="1">
      <alignment horizontal="left"/>
    </xf>
    <xf numFmtId="2" fontId="19" fillId="0" borderId="34" xfId="0" applyNumberFormat="1" applyFont="1" applyBorder="1" applyAlignment="1" applyProtection="1">
      <alignment horizontal="center"/>
      <protection locked="0"/>
    </xf>
    <xf numFmtId="2" fontId="20" fillId="4" borderId="35" xfId="0" applyNumberFormat="1" applyFont="1" applyFill="1" applyBorder="1" applyAlignment="1">
      <alignment horizontal="center"/>
    </xf>
    <xf numFmtId="2" fontId="9" fillId="4" borderId="7" xfId="0" applyNumberFormat="1" applyFont="1" applyFill="1" applyBorder="1" applyAlignment="1" applyProtection="1">
      <alignment horizontal="left"/>
      <protection hidden="1"/>
    </xf>
    <xf numFmtId="2" fontId="9" fillId="4" borderId="26" xfId="0" applyNumberFormat="1" applyFont="1" applyFill="1" applyBorder="1" applyAlignment="1" applyProtection="1">
      <alignment horizontal="left"/>
      <protection hidden="1"/>
    </xf>
    <xf numFmtId="0" fontId="10" fillId="0" borderId="30" xfId="0" applyFont="1" applyBorder="1" applyAlignment="1" applyProtection="1">
      <alignment horizontal="center"/>
      <protection hidden="1"/>
    </xf>
    <xf numFmtId="11" fontId="11" fillId="4" borderId="28" xfId="0" applyNumberFormat="1" applyFont="1" applyFill="1" applyBorder="1" applyAlignment="1" applyProtection="1">
      <alignment horizontal="center"/>
      <protection hidden="1"/>
    </xf>
    <xf numFmtId="2" fontId="8" fillId="6" borderId="4" xfId="0" applyNumberFormat="1" applyFont="1" applyFill="1" applyBorder="1" applyAlignment="1" applyProtection="1">
      <alignment horizontal="center"/>
      <protection hidden="1"/>
    </xf>
    <xf numFmtId="2" fontId="8" fillId="6" borderId="36" xfId="0" applyNumberFormat="1" applyFont="1" applyFill="1" applyBorder="1" applyAlignment="1" applyProtection="1">
      <alignment vertical="center" wrapText="1"/>
      <protection hidden="1"/>
    </xf>
    <xf numFmtId="1" fontId="0" fillId="8" borderId="14" xfId="0" applyNumberFormat="1" applyFill="1" applyBorder="1" applyAlignment="1" applyProtection="1">
      <alignment horizontal="center"/>
      <protection hidden="1"/>
    </xf>
    <xf numFmtId="2" fontId="9" fillId="4" borderId="32" xfId="0" applyNumberFormat="1" applyFont="1" applyFill="1" applyBorder="1" applyAlignment="1" applyProtection="1">
      <alignment horizontal="left"/>
      <protection hidden="1"/>
    </xf>
    <xf numFmtId="2" fontId="9" fillId="4" borderId="33" xfId="0" applyNumberFormat="1" applyFont="1" applyFill="1" applyBorder="1" applyAlignment="1" applyProtection="1">
      <alignment horizontal="left"/>
      <protection hidden="1"/>
    </xf>
    <xf numFmtId="2" fontId="11" fillId="4" borderId="35" xfId="0" applyNumberFormat="1" applyFont="1" applyFill="1" applyBorder="1" applyAlignment="1" applyProtection="1">
      <alignment horizontal="center"/>
      <protection hidden="1"/>
    </xf>
    <xf numFmtId="0" fontId="0" fillId="4" borderId="14" xfId="0" applyFill="1" applyBorder="1"/>
    <xf numFmtId="165" fontId="0" fillId="8" borderId="14" xfId="0" applyNumberFormat="1" applyFill="1" applyBorder="1" applyAlignment="1">
      <alignment horizontal="center"/>
    </xf>
    <xf numFmtId="165" fontId="0" fillId="8" borderId="14" xfId="0" applyNumberFormat="1" applyFill="1" applyBorder="1" applyAlignment="1" applyProtection="1">
      <alignment horizontal="center"/>
      <protection hidden="1"/>
    </xf>
    <xf numFmtId="0" fontId="15" fillId="4" borderId="22" xfId="0" applyFont="1" applyFill="1" applyBorder="1" applyAlignment="1">
      <alignment horizontal="center"/>
    </xf>
    <xf numFmtId="2" fontId="18" fillId="4" borderId="32" xfId="0" applyNumberFormat="1" applyFont="1" applyFill="1" applyBorder="1" applyAlignment="1" applyProtection="1">
      <alignment horizontal="left"/>
      <protection hidden="1"/>
    </xf>
    <xf numFmtId="2" fontId="18" fillId="4" borderId="33" xfId="0" applyNumberFormat="1" applyFont="1" applyFill="1" applyBorder="1" applyAlignment="1" applyProtection="1">
      <alignment horizontal="left"/>
      <protection hidden="1"/>
    </xf>
    <xf numFmtId="0" fontId="10" fillId="0" borderId="37" xfId="0" applyFont="1" applyBorder="1" applyAlignment="1" applyProtection="1">
      <alignment horizontal="center"/>
      <protection hidden="1"/>
    </xf>
    <xf numFmtId="0" fontId="7" fillId="3" borderId="1" xfId="0" applyFont="1" applyFill="1" applyBorder="1"/>
    <xf numFmtId="0" fontId="21" fillId="3" borderId="2" xfId="0" applyFont="1" applyFill="1" applyBorder="1"/>
    <xf numFmtId="0" fontId="21" fillId="3" borderId="3" xfId="0" applyFont="1" applyFill="1" applyBorder="1"/>
    <xf numFmtId="2" fontId="9" fillId="4" borderId="18" xfId="0" applyNumberFormat="1" applyFont="1" applyFill="1" applyBorder="1" applyAlignment="1">
      <alignment horizontal="left"/>
    </xf>
    <xf numFmtId="2" fontId="9" fillId="4" borderId="38" xfId="0" applyNumberFormat="1" applyFont="1" applyFill="1" applyBorder="1" applyAlignment="1">
      <alignment horizontal="center"/>
    </xf>
    <xf numFmtId="2" fontId="10" fillId="5" borderId="27" xfId="0" applyNumberFormat="1" applyFont="1" applyFill="1" applyBorder="1" applyAlignment="1" applyProtection="1">
      <alignment horizontal="center"/>
      <protection locked="0"/>
    </xf>
    <xf numFmtId="2" fontId="1" fillId="4" borderId="39" xfId="0" applyNumberFormat="1" applyFont="1" applyFill="1" applyBorder="1" applyAlignment="1">
      <alignment horizontal="center"/>
    </xf>
    <xf numFmtId="0" fontId="5" fillId="0" borderId="0" xfId="0" applyFont="1" applyProtection="1">
      <protection hidden="1"/>
    </xf>
    <xf numFmtId="2" fontId="5" fillId="0" borderId="0" xfId="0" applyNumberFormat="1" applyFont="1" applyProtection="1">
      <protection hidden="1"/>
    </xf>
    <xf numFmtId="2" fontId="9" fillId="4" borderId="32" xfId="0" applyNumberFormat="1" applyFont="1" applyFill="1" applyBorder="1" applyAlignment="1">
      <alignment horizontal="left"/>
    </xf>
    <xf numFmtId="2" fontId="9" fillId="4" borderId="33" xfId="0" applyNumberFormat="1" applyFont="1" applyFill="1" applyBorder="1" applyAlignment="1">
      <alignment horizontal="center"/>
    </xf>
    <xf numFmtId="2" fontId="10" fillId="5" borderId="34" xfId="0" applyNumberFormat="1" applyFont="1" applyFill="1" applyBorder="1" applyAlignment="1" applyProtection="1">
      <alignment horizontal="center"/>
      <protection locked="0"/>
    </xf>
    <xf numFmtId="2" fontId="1" fillId="4" borderId="35" xfId="0" applyNumberFormat="1" applyFont="1" applyFill="1" applyBorder="1" applyAlignment="1">
      <alignment horizontal="center"/>
    </xf>
    <xf numFmtId="2" fontId="9" fillId="4" borderId="18" xfId="0" applyNumberFormat="1" applyFont="1" applyFill="1" applyBorder="1" applyAlignment="1" applyProtection="1">
      <alignment horizontal="left"/>
      <protection hidden="1"/>
    </xf>
    <xf numFmtId="2" fontId="9" fillId="4" borderId="38" xfId="0" applyNumberFormat="1" applyFont="1" applyFill="1" applyBorder="1" applyAlignment="1" applyProtection="1">
      <alignment horizontal="center"/>
      <protection hidden="1"/>
    </xf>
    <xf numFmtId="2" fontId="9" fillId="4" borderId="33" xfId="0" applyNumberFormat="1" applyFont="1" applyFill="1" applyBorder="1" applyAlignment="1" applyProtection="1">
      <alignment horizontal="center"/>
      <protection hidden="1"/>
    </xf>
    <xf numFmtId="0" fontId="13" fillId="3" borderId="1" xfId="0" applyFont="1" applyFill="1" applyBorder="1" applyProtection="1">
      <protection hidden="1"/>
    </xf>
    <xf numFmtId="0" fontId="13" fillId="3" borderId="2" xfId="0" applyFont="1" applyFill="1" applyBorder="1" applyProtection="1">
      <protection hidden="1"/>
    </xf>
    <xf numFmtId="0" fontId="13" fillId="3" borderId="3" xfId="0" applyFont="1" applyFill="1" applyBorder="1" applyProtection="1">
      <protection hidden="1"/>
    </xf>
    <xf numFmtId="0" fontId="0" fillId="4" borderId="16" xfId="0" applyFill="1" applyBorder="1" applyProtection="1">
      <protection hidden="1"/>
    </xf>
    <xf numFmtId="2" fontId="5" fillId="8" borderId="40" xfId="0" applyNumberFormat="1" applyFont="1" applyFill="1" applyBorder="1" applyProtection="1">
      <protection hidden="1"/>
    </xf>
    <xf numFmtId="0" fontId="0" fillId="8" borderId="28" xfId="0" applyFill="1" applyBorder="1" applyProtection="1">
      <protection hidden="1"/>
    </xf>
    <xf numFmtId="0" fontId="22" fillId="4" borderId="41" xfId="0" applyFont="1" applyFill="1" applyBorder="1" applyProtection="1">
      <protection hidden="1"/>
    </xf>
    <xf numFmtId="0" fontId="0" fillId="4" borderId="0" xfId="0" applyFill="1" applyProtection="1">
      <protection hidden="1"/>
    </xf>
    <xf numFmtId="0" fontId="0" fillId="9" borderId="42" xfId="0" applyFill="1" applyBorder="1" applyProtection="1">
      <protection hidden="1"/>
    </xf>
    <xf numFmtId="0" fontId="0" fillId="4" borderId="43" xfId="0" applyFill="1" applyBorder="1" applyProtection="1">
      <protection hidden="1"/>
    </xf>
    <xf numFmtId="0" fontId="0" fillId="4" borderId="41" xfId="0" applyFill="1" applyBorder="1" applyProtection="1">
      <protection hidden="1"/>
    </xf>
    <xf numFmtId="1" fontId="0" fillId="9" borderId="30" xfId="0" applyNumberFormat="1" applyFill="1" applyBorder="1" applyAlignment="1" applyProtection="1">
      <alignment horizontal="center"/>
      <protection hidden="1"/>
    </xf>
    <xf numFmtId="0" fontId="1" fillId="4" borderId="43" xfId="0" applyFont="1" applyFill="1" applyBorder="1" applyAlignment="1" applyProtection="1">
      <alignment horizontal="center"/>
      <protection hidden="1"/>
    </xf>
    <xf numFmtId="0" fontId="7" fillId="3" borderId="2" xfId="0" applyFont="1" applyFill="1" applyBorder="1"/>
    <xf numFmtId="2" fontId="7" fillId="3" borderId="1" xfId="0" applyNumberFormat="1" applyFont="1" applyFill="1" applyBorder="1" applyAlignment="1">
      <alignment horizontal="center"/>
    </xf>
    <xf numFmtId="0" fontId="7" fillId="3" borderId="2" xfId="0" applyFont="1" applyFill="1" applyBorder="1" applyAlignment="1">
      <alignment horizontal="left"/>
    </xf>
    <xf numFmtId="2" fontId="7" fillId="3" borderId="3" xfId="0" applyNumberFormat="1" applyFont="1" applyFill="1" applyBorder="1" applyAlignment="1">
      <alignment horizontal="center"/>
    </xf>
    <xf numFmtId="2" fontId="0" fillId="9" borderId="30" xfId="0" applyNumberFormat="1" applyFill="1" applyBorder="1" applyAlignment="1" applyProtection="1">
      <alignment horizontal="center"/>
      <protection hidden="1"/>
    </xf>
    <xf numFmtId="2" fontId="6" fillId="5" borderId="10" xfId="0" applyNumberFormat="1" applyFont="1" applyFill="1" applyBorder="1" applyAlignment="1">
      <alignment horizontal="center"/>
    </xf>
    <xf numFmtId="2" fontId="6" fillId="5" borderId="44" xfId="0" applyNumberFormat="1" applyFont="1" applyFill="1" applyBorder="1" applyAlignment="1">
      <alignment horizontal="center"/>
    </xf>
    <xf numFmtId="2" fontId="6" fillId="5" borderId="45" xfId="0" applyNumberFormat="1" applyFont="1" applyFill="1" applyBorder="1" applyAlignment="1">
      <alignment horizontal="center"/>
    </xf>
    <xf numFmtId="2" fontId="0" fillId="4" borderId="46" xfId="0" applyNumberFormat="1" applyFill="1" applyBorder="1" applyProtection="1">
      <protection hidden="1"/>
    </xf>
    <xf numFmtId="2" fontId="5" fillId="4" borderId="47" xfId="0" applyNumberFormat="1" applyFont="1" applyFill="1" applyBorder="1" applyAlignment="1" applyProtection="1">
      <alignment horizontal="center"/>
      <protection hidden="1"/>
    </xf>
    <xf numFmtId="1" fontId="0" fillId="9" borderId="37" xfId="0" applyNumberFormat="1" applyFill="1" applyBorder="1" applyAlignment="1" applyProtection="1">
      <alignment horizontal="center"/>
      <protection hidden="1"/>
    </xf>
    <xf numFmtId="0" fontId="1" fillId="4" borderId="48" xfId="0" applyFont="1" applyFill="1" applyBorder="1" applyAlignment="1" applyProtection="1">
      <alignment horizontal="center"/>
      <protection hidden="1"/>
    </xf>
    <xf numFmtId="1" fontId="0" fillId="4" borderId="18" xfId="0" applyNumberFormat="1" applyFill="1" applyBorder="1" applyAlignment="1" applyProtection="1">
      <alignment horizontal="center"/>
      <protection locked="0"/>
    </xf>
    <xf numFmtId="1" fontId="0" fillId="0" borderId="19" xfId="0" applyNumberFormat="1" applyBorder="1" applyAlignment="1" applyProtection="1">
      <alignment horizontal="center"/>
      <protection locked="0"/>
    </xf>
    <xf numFmtId="2" fontId="0" fillId="0" borderId="19" xfId="0" applyNumberFormat="1" applyBorder="1" applyAlignment="1" applyProtection="1">
      <alignment horizontal="center"/>
      <protection locked="0"/>
    </xf>
    <xf numFmtId="2" fontId="0" fillId="4" borderId="20" xfId="0" applyNumberFormat="1" applyFill="1" applyBorder="1" applyAlignment="1" applyProtection="1">
      <alignment horizontal="left"/>
      <protection locked="0"/>
    </xf>
    <xf numFmtId="2" fontId="23" fillId="4" borderId="41" xfId="0" applyNumberFormat="1" applyFont="1" applyFill="1" applyBorder="1" applyProtection="1">
      <protection hidden="1"/>
    </xf>
    <xf numFmtId="2" fontId="0" fillId="4" borderId="0" xfId="0" applyNumberFormat="1" applyFill="1" applyProtection="1">
      <protection hidden="1"/>
    </xf>
    <xf numFmtId="0" fontId="0" fillId="9" borderId="27" xfId="0" applyFill="1" applyBorder="1" applyProtection="1">
      <protection hidden="1"/>
    </xf>
    <xf numFmtId="1" fontId="0" fillId="4" borderId="13" xfId="0" applyNumberFormat="1" applyFill="1" applyBorder="1" applyAlignment="1" applyProtection="1">
      <alignment horizontal="center"/>
      <protection locked="0"/>
    </xf>
    <xf numFmtId="1" fontId="0" fillId="0" borderId="14" xfId="0" applyNumberFormat="1" applyBorder="1" applyAlignment="1" applyProtection="1">
      <alignment horizontal="center"/>
      <protection locked="0"/>
    </xf>
    <xf numFmtId="2" fontId="0" fillId="4" borderId="15" xfId="0" applyNumberFormat="1" applyFill="1" applyBorder="1" applyAlignment="1" applyProtection="1">
      <alignment horizontal="left"/>
      <protection locked="0"/>
    </xf>
    <xf numFmtId="0" fontId="0" fillId="4" borderId="46" xfId="0" applyFill="1" applyBorder="1" applyProtection="1">
      <protection hidden="1"/>
    </xf>
    <xf numFmtId="0" fontId="0" fillId="4" borderId="47" xfId="0" applyFill="1" applyBorder="1" applyProtection="1">
      <protection hidden="1"/>
    </xf>
    <xf numFmtId="2" fontId="0" fillId="9" borderId="37" xfId="0" applyNumberFormat="1" applyFill="1" applyBorder="1" applyAlignment="1" applyProtection="1">
      <alignment horizontal="center"/>
      <protection hidden="1"/>
    </xf>
    <xf numFmtId="0" fontId="13" fillId="3" borderId="6" xfId="0" applyFont="1" applyFill="1" applyBorder="1" applyProtection="1">
      <protection hidden="1"/>
    </xf>
    <xf numFmtId="0" fontId="13" fillId="3" borderId="17" xfId="0" applyFont="1" applyFill="1" applyBorder="1" applyProtection="1">
      <protection hidden="1"/>
    </xf>
    <xf numFmtId="2" fontId="5" fillId="8" borderId="17" xfId="0" applyNumberFormat="1" applyFont="1" applyFill="1" applyBorder="1" applyProtection="1">
      <protection hidden="1"/>
    </xf>
    <xf numFmtId="0" fontId="1" fillId="4" borderId="27" xfId="0" applyFont="1" applyFill="1" applyBorder="1" applyAlignment="1" applyProtection="1">
      <alignment horizontal="center"/>
      <protection hidden="1"/>
    </xf>
    <xf numFmtId="2" fontId="5" fillId="8" borderId="16" xfId="0" applyNumberFormat="1" applyFont="1" applyFill="1" applyBorder="1" applyProtection="1">
      <protection hidden="1"/>
    </xf>
    <xf numFmtId="0" fontId="0" fillId="8" borderId="6" xfId="0" applyFill="1" applyBorder="1" applyProtection="1">
      <protection hidden="1"/>
    </xf>
    <xf numFmtId="0" fontId="1" fillId="4" borderId="31" xfId="0" applyFont="1" applyFill="1" applyBorder="1" applyAlignment="1" applyProtection="1">
      <alignment horizontal="center"/>
      <protection hidden="1"/>
    </xf>
    <xf numFmtId="0" fontId="0" fillId="9" borderId="49" xfId="0" applyFill="1" applyBorder="1" applyProtection="1">
      <protection hidden="1"/>
    </xf>
    <xf numFmtId="0" fontId="1" fillId="4" borderId="28" xfId="0" applyFont="1" applyFill="1" applyBorder="1" applyAlignment="1" applyProtection="1">
      <alignment horizontal="center"/>
      <protection hidden="1"/>
    </xf>
    <xf numFmtId="2" fontId="23" fillId="4" borderId="16" xfId="0" applyNumberFormat="1" applyFont="1" applyFill="1" applyBorder="1" applyProtection="1">
      <protection hidden="1"/>
    </xf>
    <xf numFmtId="2" fontId="0" fillId="4" borderId="17" xfId="0" applyNumberFormat="1" applyFill="1" applyBorder="1" applyProtection="1">
      <protection hidden="1"/>
    </xf>
    <xf numFmtId="0" fontId="0" fillId="9" borderId="27" xfId="0" applyFill="1" applyBorder="1" applyAlignment="1" applyProtection="1">
      <alignment horizontal="center"/>
      <protection hidden="1"/>
    </xf>
    <xf numFmtId="1" fontId="0" fillId="4" borderId="32" xfId="0" applyNumberFormat="1" applyFill="1" applyBorder="1" applyAlignment="1" applyProtection="1">
      <alignment horizontal="center"/>
      <protection locked="0"/>
    </xf>
    <xf numFmtId="1" fontId="0" fillId="0" borderId="50" xfId="0" applyNumberFormat="1" applyBorder="1" applyAlignment="1" applyProtection="1">
      <alignment horizontal="center"/>
      <protection locked="0"/>
    </xf>
    <xf numFmtId="2" fontId="0" fillId="4" borderId="51" xfId="0" applyNumberFormat="1" applyFill="1" applyBorder="1" applyAlignment="1" applyProtection="1">
      <alignment horizontal="left"/>
      <protection locked="0"/>
    </xf>
    <xf numFmtId="0" fontId="1" fillId="4" borderId="35" xfId="0" applyFont="1" applyFill="1" applyBorder="1" applyAlignment="1" applyProtection="1">
      <alignment horizontal="center"/>
      <protection hidden="1"/>
    </xf>
    <xf numFmtId="1" fontId="7" fillId="3" borderId="1" xfId="0" applyNumberFormat="1" applyFont="1" applyFill="1" applyBorder="1" applyAlignment="1">
      <alignment horizontal="left"/>
    </xf>
    <xf numFmtId="1" fontId="21" fillId="3" borderId="2" xfId="0" applyNumberFormat="1" applyFont="1" applyFill="1" applyBorder="1" applyAlignment="1">
      <alignment horizontal="center"/>
    </xf>
    <xf numFmtId="1" fontId="24" fillId="4" borderId="7" xfId="0" applyNumberFormat="1" applyFont="1" applyFill="1" applyBorder="1" applyAlignment="1">
      <alignment horizontal="left"/>
    </xf>
    <xf numFmtId="2" fontId="24" fillId="0" borderId="26" xfId="0" applyNumberFormat="1" applyFont="1" applyBorder="1" applyAlignment="1" applyProtection="1">
      <alignment horizontal="center"/>
      <protection locked="0"/>
    </xf>
    <xf numFmtId="0" fontId="1" fillId="4" borderId="9" xfId="0" applyFont="1" applyFill="1" applyBorder="1" applyAlignment="1">
      <alignment horizontal="center"/>
    </xf>
    <xf numFmtId="1" fontId="24" fillId="4" borderId="32" xfId="0" applyNumberFormat="1" applyFont="1" applyFill="1" applyBorder="1" applyAlignment="1">
      <alignment horizontal="left"/>
    </xf>
    <xf numFmtId="1" fontId="24" fillId="0" borderId="33" xfId="0" applyNumberFormat="1" applyFont="1" applyBorder="1" applyAlignment="1" applyProtection="1">
      <alignment horizontal="center"/>
      <protection locked="0"/>
    </xf>
    <xf numFmtId="0" fontId="1" fillId="4" borderId="51" xfId="0" applyFont="1" applyFill="1" applyBorder="1" applyAlignment="1">
      <alignment horizontal="center"/>
    </xf>
    <xf numFmtId="1" fontId="25" fillId="0" borderId="0" xfId="0" applyNumberFormat="1" applyFont="1" applyAlignment="1">
      <alignment horizontal="left"/>
    </xf>
    <xf numFmtId="1" fontId="25" fillId="0" borderId="0" xfId="0" applyNumberFormat="1" applyFont="1" applyAlignment="1" applyProtection="1">
      <alignment horizontal="center"/>
      <protection locked="0"/>
    </xf>
    <xf numFmtId="0" fontId="25" fillId="0" borderId="0" xfId="0" applyFont="1" applyAlignment="1">
      <alignment horizontal="center"/>
    </xf>
    <xf numFmtId="2" fontId="14" fillId="10" borderId="21" xfId="0" applyNumberFormat="1" applyFont="1" applyFill="1" applyBorder="1" applyProtection="1">
      <protection hidden="1"/>
    </xf>
    <xf numFmtId="2" fontId="14" fillId="10" borderId="8" xfId="0" applyNumberFormat="1" applyFont="1" applyFill="1" applyBorder="1" applyProtection="1">
      <protection hidden="1"/>
    </xf>
    <xf numFmtId="0" fontId="14" fillId="10" borderId="6" xfId="0" applyFont="1" applyFill="1" applyBorder="1" applyProtection="1">
      <protection hidden="1"/>
    </xf>
    <xf numFmtId="2" fontId="0" fillId="9" borderId="14" xfId="0" applyNumberFormat="1" applyFill="1" applyBorder="1" applyAlignment="1" applyProtection="1">
      <alignment horizontal="center"/>
      <protection hidden="1"/>
    </xf>
    <xf numFmtId="2" fontId="16" fillId="3" borderId="1" xfId="0" applyNumberFormat="1" applyFont="1" applyFill="1" applyBorder="1"/>
    <xf numFmtId="2" fontId="16" fillId="3" borderId="2" xfId="0" applyNumberFormat="1" applyFont="1" applyFill="1" applyBorder="1"/>
    <xf numFmtId="0" fontId="13" fillId="3" borderId="2" xfId="0" applyFont="1" applyFill="1" applyBorder="1"/>
    <xf numFmtId="0" fontId="13" fillId="3" borderId="3" xfId="0" applyFont="1" applyFill="1" applyBorder="1"/>
    <xf numFmtId="1" fontId="9" fillId="4" borderId="16" xfId="0" applyNumberFormat="1" applyFont="1" applyFill="1" applyBorder="1" applyAlignment="1">
      <alignment horizontal="left"/>
    </xf>
    <xf numFmtId="0" fontId="9" fillId="4" borderId="6" xfId="0" applyFont="1" applyFill="1" applyBorder="1"/>
    <xf numFmtId="1" fontId="9" fillId="0" borderId="6" xfId="0" applyNumberFormat="1" applyFont="1" applyBorder="1" applyAlignment="1" applyProtection="1">
      <alignment horizontal="center"/>
      <protection locked="0"/>
    </xf>
    <xf numFmtId="0" fontId="1" fillId="4" borderId="52" xfId="0" applyFont="1" applyFill="1" applyBorder="1" applyAlignment="1">
      <alignment horizontal="center"/>
    </xf>
    <xf numFmtId="0" fontId="24" fillId="4" borderId="14" xfId="0" applyFont="1" applyFill="1" applyBorder="1"/>
    <xf numFmtId="0" fontId="0" fillId="0" borderId="14" xfId="0" applyBorder="1" applyAlignment="1">
      <alignment horizontal="center"/>
    </xf>
    <xf numFmtId="0" fontId="0" fillId="4" borderId="14" xfId="0" applyFill="1" applyBorder="1" applyAlignment="1">
      <alignment horizontal="center"/>
    </xf>
    <xf numFmtId="1" fontId="0" fillId="9" borderId="14" xfId="0" applyNumberFormat="1" applyFill="1" applyBorder="1" applyAlignment="1" applyProtection="1">
      <alignment horizontal="center"/>
      <protection hidden="1"/>
    </xf>
    <xf numFmtId="165" fontId="0" fillId="9" borderId="14" xfId="0" applyNumberFormat="1" applyFill="1" applyBorder="1" applyAlignment="1">
      <alignment horizontal="center"/>
    </xf>
    <xf numFmtId="0" fontId="0" fillId="3" borderId="3" xfId="0" applyFill="1" applyBorder="1"/>
    <xf numFmtId="0" fontId="0" fillId="4" borderId="40" xfId="0" applyFill="1" applyBorder="1"/>
    <xf numFmtId="0" fontId="0" fillId="0" borderId="27" xfId="0" applyBorder="1" applyAlignment="1" applyProtection="1">
      <alignment horizontal="center"/>
      <protection locked="0"/>
    </xf>
    <xf numFmtId="0" fontId="0" fillId="4" borderId="28" xfId="0" applyFill="1" applyBorder="1"/>
    <xf numFmtId="2" fontId="0" fillId="4" borderId="53" xfId="0" applyNumberFormat="1" applyFill="1" applyBorder="1"/>
    <xf numFmtId="1" fontId="0" fillId="0" borderId="30" xfId="0" applyNumberFormat="1" applyBorder="1" applyAlignment="1" applyProtection="1">
      <alignment horizontal="center"/>
      <protection locked="0"/>
    </xf>
    <xf numFmtId="0" fontId="1" fillId="4" borderId="31" xfId="0" applyFont="1" applyFill="1" applyBorder="1" applyAlignment="1">
      <alignment horizontal="center"/>
    </xf>
    <xf numFmtId="2" fontId="0" fillId="0" borderId="30" xfId="0" applyNumberFormat="1" applyBorder="1" applyAlignment="1" applyProtection="1">
      <alignment horizontal="center"/>
      <protection locked="0"/>
    </xf>
    <xf numFmtId="2" fontId="0" fillId="4" borderId="54" xfId="0" applyNumberFormat="1" applyFill="1" applyBorder="1"/>
    <xf numFmtId="2" fontId="0" fillId="0" borderId="37" xfId="0" applyNumberFormat="1" applyBorder="1" applyAlignment="1" applyProtection="1">
      <alignment horizontal="center"/>
      <protection locked="0"/>
    </xf>
    <xf numFmtId="0" fontId="1" fillId="4" borderId="35" xfId="0" applyFont="1" applyFill="1" applyBorder="1" applyAlignment="1">
      <alignment horizontal="center"/>
    </xf>
    <xf numFmtId="0" fontId="7" fillId="3" borderId="16" xfId="0" applyFont="1" applyFill="1" applyBorder="1"/>
    <xf numFmtId="2" fontId="0" fillId="4" borderId="7" xfId="0" applyNumberFormat="1" applyFill="1" applyBorder="1"/>
    <xf numFmtId="0" fontId="0" fillId="4" borderId="9" xfId="0" applyFill="1" applyBorder="1"/>
    <xf numFmtId="2" fontId="0" fillId="5" borderId="6" xfId="0" applyNumberFormat="1" applyFill="1" applyBorder="1" applyAlignment="1" applyProtection="1">
      <alignment horizontal="center"/>
      <protection locked="0"/>
    </xf>
    <xf numFmtId="0" fontId="1" fillId="4" borderId="19" xfId="0" applyFont="1" applyFill="1" applyBorder="1" applyAlignment="1">
      <alignment horizontal="center"/>
    </xf>
    <xf numFmtId="0" fontId="0" fillId="4" borderId="13" xfId="0" applyFill="1" applyBorder="1"/>
    <xf numFmtId="0" fontId="0" fillId="4" borderId="15" xfId="0" applyFill="1" applyBorder="1"/>
    <xf numFmtId="0" fontId="0" fillId="5" borderId="31" xfId="0" applyFill="1" applyBorder="1" applyAlignment="1" applyProtection="1">
      <alignment horizontal="center"/>
      <protection locked="0"/>
    </xf>
    <xf numFmtId="0" fontId="1" fillId="4" borderId="14" xfId="0" applyFont="1" applyFill="1" applyBorder="1" applyAlignment="1">
      <alignment horizontal="center"/>
    </xf>
    <xf numFmtId="0" fontId="0" fillId="4" borderId="32" xfId="0" applyFill="1" applyBorder="1"/>
    <xf numFmtId="0" fontId="0" fillId="4" borderId="51" xfId="0" applyFill="1" applyBorder="1"/>
    <xf numFmtId="0" fontId="0" fillId="5" borderId="35" xfId="0" applyFill="1" applyBorder="1" applyAlignment="1" applyProtection="1">
      <alignment horizontal="center"/>
      <protection locked="0"/>
    </xf>
    <xf numFmtId="2" fontId="7" fillId="3" borderId="1" xfId="0" applyNumberFormat="1" applyFont="1" applyFill="1" applyBorder="1"/>
    <xf numFmtId="2" fontId="21" fillId="3" borderId="2" xfId="0" applyNumberFormat="1" applyFont="1" applyFill="1" applyBorder="1"/>
    <xf numFmtId="2" fontId="0" fillId="5" borderId="10" xfId="0" applyNumberFormat="1" applyFill="1" applyBorder="1" applyAlignment="1">
      <alignment horizontal="center"/>
    </xf>
    <xf numFmtId="2" fontId="0" fillId="5" borderId="44" xfId="0" applyNumberFormat="1" applyFill="1" applyBorder="1" applyAlignment="1">
      <alignment horizontal="center"/>
    </xf>
    <xf numFmtId="0" fontId="0" fillId="5" borderId="44" xfId="0" applyFill="1" applyBorder="1" applyAlignment="1">
      <alignment horizontal="center"/>
    </xf>
    <xf numFmtId="0" fontId="0" fillId="5" borderId="55" xfId="0" applyFill="1" applyBorder="1" applyAlignment="1">
      <alignment horizontal="left"/>
    </xf>
    <xf numFmtId="1" fontId="0" fillId="4" borderId="7" xfId="0" applyNumberFormat="1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left"/>
      <protection locked="0"/>
    </xf>
    <xf numFmtId="2" fontId="0" fillId="0" borderId="8" xfId="0" applyNumberFormat="1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2" fontId="0" fillId="0" borderId="14" xfId="0" applyNumberFormat="1" applyBorder="1" applyProtection="1">
      <protection locked="0"/>
    </xf>
    <xf numFmtId="2" fontId="0" fillId="0" borderId="14" xfId="0" applyNumberFormat="1" applyBorder="1" applyAlignment="1" applyProtection="1">
      <alignment horizontal="center"/>
      <protection locked="0"/>
    </xf>
    <xf numFmtId="2" fontId="0" fillId="0" borderId="14" xfId="0" applyNumberFormat="1" applyBorder="1" applyAlignment="1" applyProtection="1">
      <alignment horizontal="left"/>
      <protection locked="0"/>
    </xf>
    <xf numFmtId="2" fontId="0" fillId="3" borderId="6" xfId="0" applyNumberFormat="1" applyFill="1" applyBorder="1" applyProtection="1">
      <protection hidden="1"/>
    </xf>
    <xf numFmtId="0" fontId="0" fillId="4" borderId="13" xfId="0" applyFill="1" applyBorder="1" applyProtection="1">
      <protection hidden="1"/>
    </xf>
    <xf numFmtId="2" fontId="24" fillId="10" borderId="14" xfId="0" applyNumberFormat="1" applyFont="1" applyFill="1" applyBorder="1" applyProtection="1">
      <protection hidden="1"/>
    </xf>
    <xf numFmtId="2" fontId="24" fillId="10" borderId="14" xfId="0" applyNumberFormat="1" applyFont="1" applyFill="1" applyBorder="1" applyAlignment="1" applyProtection="1">
      <alignment horizontal="center"/>
      <protection hidden="1"/>
    </xf>
    <xf numFmtId="0" fontId="14" fillId="10" borderId="15" xfId="0" applyFont="1" applyFill="1" applyBorder="1" applyProtection="1">
      <protection hidden="1"/>
    </xf>
    <xf numFmtId="2" fontId="0" fillId="4" borderId="15" xfId="0" applyNumberFormat="1" applyFill="1" applyBorder="1" applyAlignment="1" applyProtection="1">
      <alignment horizontal="center"/>
      <protection hidden="1"/>
    </xf>
    <xf numFmtId="2" fontId="0" fillId="0" borderId="50" xfId="0" applyNumberFormat="1" applyBorder="1" applyAlignment="1" applyProtection="1">
      <alignment horizontal="left"/>
      <protection locked="0"/>
    </xf>
    <xf numFmtId="2" fontId="0" fillId="0" borderId="50" xfId="0" applyNumberFormat="1" applyBorder="1" applyAlignment="1" applyProtection="1">
      <alignment horizontal="center"/>
      <protection locked="0"/>
    </xf>
    <xf numFmtId="0" fontId="0" fillId="0" borderId="51" xfId="0" applyBorder="1" applyAlignment="1" applyProtection="1">
      <alignment horizontal="center"/>
      <protection locked="0"/>
    </xf>
    <xf numFmtId="0" fontId="0" fillId="4" borderId="32" xfId="0" applyFill="1" applyBorder="1" applyProtection="1">
      <protection hidden="1"/>
    </xf>
    <xf numFmtId="0" fontId="0" fillId="4" borderId="50" xfId="0" applyFill="1" applyBorder="1" applyProtection="1">
      <protection hidden="1"/>
    </xf>
    <xf numFmtId="1" fontId="0" fillId="9" borderId="50" xfId="0" applyNumberFormat="1" applyFill="1" applyBorder="1" applyAlignment="1" applyProtection="1">
      <alignment horizontal="center"/>
      <protection hidden="1"/>
    </xf>
    <xf numFmtId="2" fontId="0" fillId="4" borderId="51" xfId="0" applyNumberFormat="1" applyFill="1" applyBorder="1" applyAlignment="1" applyProtection="1">
      <alignment horizontal="center"/>
      <protection hidden="1"/>
    </xf>
    <xf numFmtId="0" fontId="13" fillId="5" borderId="0" xfId="0" applyFont="1" applyFill="1" applyProtection="1">
      <protection hidden="1"/>
    </xf>
    <xf numFmtId="0" fontId="0" fillId="5" borderId="0" xfId="0" applyFill="1"/>
    <xf numFmtId="0" fontId="0" fillId="5" borderId="0" xfId="0" applyFill="1" applyProtection="1">
      <protection hidden="1"/>
    </xf>
    <xf numFmtId="2" fontId="1" fillId="5" borderId="0" xfId="0" applyNumberFormat="1" applyFont="1" applyFill="1" applyAlignment="1" applyProtection="1">
      <alignment horizontal="center"/>
      <protection hidden="1"/>
    </xf>
    <xf numFmtId="2" fontId="7" fillId="3" borderId="16" xfId="0" applyNumberFormat="1" applyFont="1" applyFill="1" applyBorder="1"/>
    <xf numFmtId="2" fontId="21" fillId="3" borderId="6" xfId="0" applyNumberFormat="1" applyFont="1" applyFill="1" applyBorder="1"/>
    <xf numFmtId="2" fontId="0" fillId="4" borderId="1" xfId="0" applyNumberFormat="1" applyFill="1" applyBorder="1"/>
    <xf numFmtId="2" fontId="0" fillId="4" borderId="6" xfId="0" applyNumberFormat="1" applyFill="1" applyBorder="1"/>
    <xf numFmtId="2" fontId="0" fillId="4" borderId="56" xfId="0" applyNumberFormat="1" applyFill="1" applyBorder="1" applyAlignment="1">
      <alignment horizontal="center"/>
    </xf>
    <xf numFmtId="1" fontId="0" fillId="0" borderId="42" xfId="0" applyNumberFormat="1" applyBorder="1" applyAlignment="1">
      <alignment horizontal="center"/>
    </xf>
    <xf numFmtId="2" fontId="0" fillId="0" borderId="20" xfId="0" applyNumberFormat="1" applyBorder="1" applyAlignment="1" applyProtection="1">
      <alignment horizontal="center"/>
      <protection locked="0"/>
    </xf>
    <xf numFmtId="1" fontId="0" fillId="0" borderId="30" xfId="0" applyNumberFormat="1" applyBorder="1" applyAlignment="1">
      <alignment horizontal="center"/>
    </xf>
    <xf numFmtId="2" fontId="0" fillId="0" borderId="15" xfId="0" applyNumberFormat="1" applyBorder="1" applyAlignment="1" applyProtection="1">
      <alignment horizontal="center"/>
      <protection locked="0"/>
    </xf>
    <xf numFmtId="1" fontId="0" fillId="0" borderId="37" xfId="0" applyNumberFormat="1" applyBorder="1" applyAlignment="1">
      <alignment horizontal="center"/>
    </xf>
    <xf numFmtId="2" fontId="0" fillId="0" borderId="51" xfId="0" applyNumberFormat="1" applyBorder="1" applyAlignment="1" applyProtection="1">
      <alignment horizontal="center"/>
      <protection locked="0"/>
    </xf>
    <xf numFmtId="0" fontId="13" fillId="11" borderId="1" xfId="0" applyFont="1" applyFill="1" applyBorder="1" applyProtection="1">
      <protection hidden="1"/>
    </xf>
    <xf numFmtId="0" fontId="21" fillId="11" borderId="2" xfId="0" applyFont="1" applyFill="1" applyBorder="1" applyProtection="1">
      <protection hidden="1"/>
    </xf>
    <xf numFmtId="0" fontId="0" fillId="11" borderId="2" xfId="0" applyFill="1" applyBorder="1" applyProtection="1">
      <protection hidden="1"/>
    </xf>
    <xf numFmtId="0" fontId="0" fillId="11" borderId="3" xfId="0" applyFill="1" applyBorder="1" applyProtection="1">
      <protection hidden="1"/>
    </xf>
    <xf numFmtId="0" fontId="0" fillId="4" borderId="7" xfId="0" applyFill="1" applyBorder="1" applyProtection="1">
      <protection hidden="1"/>
    </xf>
    <xf numFmtId="2" fontId="5" fillId="12" borderId="8" xfId="0" applyNumberFormat="1" applyFont="1" applyFill="1" applyBorder="1" applyProtection="1">
      <protection hidden="1"/>
    </xf>
    <xf numFmtId="0" fontId="0" fillId="12" borderId="9" xfId="0" applyFill="1" applyBorder="1" applyProtection="1">
      <protection hidden="1"/>
    </xf>
    <xf numFmtId="2" fontId="0" fillId="9" borderId="50" xfId="0" applyNumberFormat="1" applyFill="1" applyBorder="1" applyAlignment="1" applyProtection="1">
      <alignment horizontal="center"/>
      <protection hidden="1"/>
    </xf>
    <xf numFmtId="0" fontId="1" fillId="4" borderId="51" xfId="0" applyFont="1" applyFill="1" applyBorder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7" fillId="3" borderId="16" xfId="0" applyFont="1" applyFill="1" applyBorder="1" applyAlignment="1">
      <alignment horizontal="left"/>
    </xf>
    <xf numFmtId="0" fontId="21" fillId="3" borderId="17" xfId="0" applyFont="1" applyFill="1" applyBorder="1"/>
    <xf numFmtId="0" fontId="21" fillId="3" borderId="6" xfId="0" applyFont="1" applyFill="1" applyBorder="1"/>
    <xf numFmtId="0" fontId="0" fillId="4" borderId="7" xfId="0" applyFill="1" applyBorder="1"/>
    <xf numFmtId="0" fontId="0" fillId="4" borderId="8" xfId="0" applyFill="1" applyBorder="1"/>
    <xf numFmtId="0" fontId="0" fillId="0" borderId="8" xfId="0" applyBorder="1" applyAlignment="1" applyProtection="1">
      <alignment horizontal="center"/>
      <protection locked="0"/>
    </xf>
    <xf numFmtId="0" fontId="1" fillId="4" borderId="28" xfId="0" applyFont="1" applyFill="1" applyBorder="1" applyAlignment="1">
      <alignment horizontal="center"/>
    </xf>
    <xf numFmtId="0" fontId="0" fillId="0" borderId="14" xfId="0" applyBorder="1" applyAlignment="1" applyProtection="1">
      <alignment horizontal="center"/>
      <protection locked="0"/>
    </xf>
    <xf numFmtId="2" fontId="0" fillId="4" borderId="14" xfId="0" applyNumberFormat="1" applyFill="1" applyBorder="1"/>
    <xf numFmtId="2" fontId="0" fillId="4" borderId="50" xfId="0" applyNumberFormat="1" applyFill="1" applyBorder="1"/>
    <xf numFmtId="2" fontId="21" fillId="11" borderId="2" xfId="0" applyNumberFormat="1" applyFont="1" applyFill="1" applyBorder="1" applyProtection="1">
      <protection hidden="1"/>
    </xf>
    <xf numFmtId="0" fontId="0" fillId="4" borderId="19" xfId="0" applyFill="1" applyBorder="1" applyProtection="1">
      <protection hidden="1"/>
    </xf>
    <xf numFmtId="2" fontId="5" fillId="0" borderId="19" xfId="0" applyNumberFormat="1" applyFont="1" applyBorder="1" applyProtection="1">
      <protection hidden="1"/>
    </xf>
    <xf numFmtId="2" fontId="0" fillId="0" borderId="14" xfId="0" applyNumberFormat="1" applyBorder="1" applyAlignment="1" applyProtection="1">
      <alignment horizontal="center"/>
      <protection locked="0" hidden="1"/>
    </xf>
    <xf numFmtId="2" fontId="0" fillId="0" borderId="14" xfId="0" applyNumberFormat="1" applyBorder="1" applyAlignment="1" applyProtection="1">
      <alignment horizontal="center"/>
      <protection hidden="1"/>
    </xf>
    <xf numFmtId="2" fontId="1" fillId="4" borderId="14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Alignment="1" applyProtection="1">
      <alignment horizontal="center"/>
      <protection hidden="1"/>
    </xf>
    <xf numFmtId="165" fontId="0" fillId="0" borderId="0" xfId="0" applyNumberFormat="1" applyAlignment="1" applyProtection="1">
      <alignment horizontal="center"/>
      <protection hidden="1"/>
    </xf>
    <xf numFmtId="2" fontId="13" fillId="3" borderId="1" xfId="0" applyNumberFormat="1" applyFont="1" applyFill="1" applyBorder="1" applyProtection="1">
      <protection hidden="1"/>
    </xf>
    <xf numFmtId="2" fontId="13" fillId="3" borderId="2" xfId="0" applyNumberFormat="1" applyFont="1" applyFill="1" applyBorder="1" applyProtection="1">
      <protection hidden="1"/>
    </xf>
    <xf numFmtId="0" fontId="0" fillId="3" borderId="2" xfId="0" applyFill="1" applyBorder="1" applyProtection="1">
      <protection hidden="1"/>
    </xf>
    <xf numFmtId="11" fontId="0" fillId="3" borderId="3" xfId="0" applyNumberFormat="1" applyFill="1" applyBorder="1" applyProtection="1">
      <protection hidden="1"/>
    </xf>
    <xf numFmtId="0" fontId="0" fillId="6" borderId="16" xfId="0" applyFill="1" applyBorder="1" applyProtection="1">
      <protection hidden="1"/>
    </xf>
    <xf numFmtId="0" fontId="0" fillId="6" borderId="6" xfId="0" applyFill="1" applyBorder="1" applyProtection="1">
      <protection hidden="1"/>
    </xf>
    <xf numFmtId="2" fontId="5" fillId="6" borderId="1" xfId="0" applyNumberFormat="1" applyFont="1" applyFill="1" applyBorder="1" applyProtection="1">
      <protection hidden="1"/>
    </xf>
    <xf numFmtId="2" fontId="5" fillId="6" borderId="56" xfId="0" applyNumberFormat="1" applyFont="1" applyFill="1" applyBorder="1" applyProtection="1">
      <protection hidden="1"/>
    </xf>
    <xf numFmtId="2" fontId="0" fillId="4" borderId="16" xfId="0" applyNumberFormat="1" applyFill="1" applyBorder="1" applyProtection="1">
      <protection hidden="1"/>
    </xf>
    <xf numFmtId="2" fontId="0" fillId="4" borderId="6" xfId="0" applyNumberFormat="1" applyFill="1" applyBorder="1" applyProtection="1">
      <protection hidden="1"/>
    </xf>
    <xf numFmtId="1" fontId="25" fillId="9" borderId="57" xfId="0" applyNumberFormat="1" applyFont="1" applyFill="1" applyBorder="1" applyAlignment="1" applyProtection="1">
      <alignment horizontal="center"/>
      <protection hidden="1"/>
    </xf>
    <xf numFmtId="2" fontId="25" fillId="9" borderId="42" xfId="0" applyNumberFormat="1" applyFont="1" applyFill="1" applyBorder="1" applyAlignment="1" applyProtection="1">
      <alignment horizontal="center"/>
      <protection hidden="1"/>
    </xf>
    <xf numFmtId="1" fontId="25" fillId="9" borderId="42" xfId="0" applyNumberFormat="1" applyFont="1" applyFill="1" applyBorder="1" applyAlignment="1" applyProtection="1">
      <alignment horizontal="center"/>
      <protection hidden="1"/>
    </xf>
    <xf numFmtId="0" fontId="1" fillId="4" borderId="39" xfId="0" applyFont="1" applyFill="1" applyBorder="1" applyAlignment="1" applyProtection="1">
      <alignment horizontal="center"/>
      <protection hidden="1"/>
    </xf>
    <xf numFmtId="2" fontId="0" fillId="4" borderId="41" xfId="0" applyNumberFormat="1" applyFill="1" applyBorder="1" applyProtection="1">
      <protection hidden="1"/>
    </xf>
    <xf numFmtId="2" fontId="0" fillId="4" borderId="43" xfId="0" applyNumberFormat="1" applyFill="1" applyBorder="1" applyProtection="1">
      <protection hidden="1"/>
    </xf>
    <xf numFmtId="2" fontId="25" fillId="9" borderId="58" xfId="0" applyNumberFormat="1" applyFont="1" applyFill="1" applyBorder="1" applyAlignment="1" applyProtection="1">
      <alignment horizontal="center"/>
      <protection hidden="1"/>
    </xf>
    <xf numFmtId="2" fontId="25" fillId="9" borderId="30" xfId="0" applyNumberFormat="1" applyFont="1" applyFill="1" applyBorder="1" applyAlignment="1" applyProtection="1">
      <alignment horizontal="center"/>
      <protection hidden="1"/>
    </xf>
    <xf numFmtId="11" fontId="25" fillId="9" borderId="58" xfId="0" applyNumberFormat="1" applyFont="1" applyFill="1" applyBorder="1" applyAlignment="1" applyProtection="1">
      <alignment horizontal="center"/>
      <protection hidden="1"/>
    </xf>
    <xf numFmtId="11" fontId="25" fillId="9" borderId="30" xfId="0" applyNumberFormat="1" applyFont="1" applyFill="1" applyBorder="1" applyAlignment="1" applyProtection="1">
      <alignment horizontal="center"/>
      <protection hidden="1"/>
    </xf>
    <xf numFmtId="165" fontId="25" fillId="9" borderId="30" xfId="0" applyNumberFormat="1" applyFont="1" applyFill="1" applyBorder="1" applyAlignment="1" applyProtection="1">
      <alignment horizontal="center"/>
      <protection hidden="1"/>
    </xf>
    <xf numFmtId="11" fontId="0" fillId="4" borderId="41" xfId="0" applyNumberFormat="1" applyFill="1" applyBorder="1" applyProtection="1">
      <protection hidden="1"/>
    </xf>
    <xf numFmtId="11" fontId="0" fillId="4" borderId="43" xfId="0" applyNumberFormat="1" applyFill="1" applyBorder="1" applyProtection="1">
      <protection hidden="1"/>
    </xf>
    <xf numFmtId="11" fontId="0" fillId="4" borderId="46" xfId="0" applyNumberFormat="1" applyFill="1" applyBorder="1" applyProtection="1">
      <protection hidden="1"/>
    </xf>
    <xf numFmtId="11" fontId="0" fillId="4" borderId="48" xfId="0" applyNumberFormat="1" applyFill="1" applyBorder="1" applyProtection="1">
      <protection hidden="1"/>
    </xf>
    <xf numFmtId="11" fontId="25" fillId="9" borderId="59" xfId="0" applyNumberFormat="1" applyFont="1" applyFill="1" applyBorder="1" applyAlignment="1" applyProtection="1">
      <alignment horizontal="center"/>
      <protection hidden="1"/>
    </xf>
    <xf numFmtId="11" fontId="25" fillId="9" borderId="37" xfId="0" applyNumberFormat="1" applyFont="1" applyFill="1" applyBorder="1" applyAlignment="1" applyProtection="1">
      <alignment horizontal="center"/>
      <protection hidden="1"/>
    </xf>
    <xf numFmtId="0" fontId="21" fillId="3" borderId="17" xfId="0" applyFont="1" applyFill="1" applyBorder="1" applyProtection="1">
      <protection hidden="1"/>
    </xf>
    <xf numFmtId="0" fontId="21" fillId="3" borderId="6" xfId="0" applyFont="1" applyFill="1" applyBorder="1" applyProtection="1">
      <protection hidden="1"/>
    </xf>
    <xf numFmtId="0" fontId="0" fillId="4" borderId="29" xfId="0" applyFill="1" applyBorder="1" applyProtection="1">
      <protection hidden="1"/>
    </xf>
    <xf numFmtId="1" fontId="26" fillId="6" borderId="30" xfId="0" applyNumberFormat="1" applyFont="1" applyFill="1" applyBorder="1" applyAlignment="1" applyProtection="1">
      <alignment horizontal="center"/>
      <protection hidden="1"/>
    </xf>
    <xf numFmtId="2" fontId="26" fillId="6" borderId="30" xfId="0" applyNumberFormat="1" applyFont="1" applyFill="1" applyBorder="1" applyAlignment="1" applyProtection="1">
      <alignment horizontal="center"/>
      <protection hidden="1"/>
    </xf>
    <xf numFmtId="11" fontId="0" fillId="4" borderId="13" xfId="0" applyNumberFormat="1" applyFill="1" applyBorder="1" applyProtection="1">
      <protection hidden="1"/>
    </xf>
    <xf numFmtId="11" fontId="0" fillId="4" borderId="29" xfId="0" applyNumberFormat="1" applyFill="1" applyBorder="1" applyProtection="1">
      <protection hidden="1"/>
    </xf>
    <xf numFmtId="11" fontId="26" fillId="6" borderId="30" xfId="0" applyNumberFormat="1" applyFont="1" applyFill="1" applyBorder="1" applyAlignment="1" applyProtection="1">
      <alignment horizontal="center"/>
      <protection hidden="1"/>
    </xf>
    <xf numFmtId="2" fontId="1" fillId="4" borderId="31" xfId="0" applyNumberFormat="1" applyFont="1" applyFill="1" applyBorder="1" applyAlignment="1" applyProtection="1">
      <alignment horizontal="center"/>
      <protection hidden="1"/>
    </xf>
    <xf numFmtId="2" fontId="0" fillId="4" borderId="32" xfId="0" applyNumberFormat="1" applyFill="1" applyBorder="1" applyProtection="1">
      <protection hidden="1"/>
    </xf>
    <xf numFmtId="2" fontId="0" fillId="4" borderId="33" xfId="0" applyNumberFormat="1" applyFill="1" applyBorder="1" applyProtection="1">
      <protection hidden="1"/>
    </xf>
    <xf numFmtId="1" fontId="26" fillId="6" borderId="37" xfId="0" applyNumberFormat="1" applyFont="1" applyFill="1" applyBorder="1" applyAlignment="1" applyProtection="1">
      <alignment horizontal="center"/>
      <protection hidden="1"/>
    </xf>
    <xf numFmtId="0" fontId="27" fillId="3" borderId="1" xfId="0" applyFont="1" applyFill="1" applyBorder="1" applyProtection="1">
      <protection hidden="1"/>
    </xf>
    <xf numFmtId="0" fontId="27" fillId="3" borderId="2" xfId="0" applyFont="1" applyFill="1" applyBorder="1" applyProtection="1">
      <protection hidden="1"/>
    </xf>
    <xf numFmtId="0" fontId="0" fillId="3" borderId="2" xfId="0" applyFill="1" applyBorder="1"/>
    <xf numFmtId="2" fontId="28" fillId="4" borderId="18" xfId="0" applyNumberFormat="1" applyFont="1" applyFill="1" applyBorder="1" applyProtection="1">
      <protection hidden="1"/>
    </xf>
    <xf numFmtId="2" fontId="28" fillId="4" borderId="38" xfId="0" applyNumberFormat="1" applyFont="1" applyFill="1" applyBorder="1" applyProtection="1">
      <protection hidden="1"/>
    </xf>
    <xf numFmtId="2" fontId="29" fillId="6" borderId="42" xfId="0" applyNumberFormat="1" applyFont="1" applyFill="1" applyBorder="1" applyAlignment="1" applyProtection="1">
      <alignment horizontal="center"/>
      <protection hidden="1"/>
    </xf>
    <xf numFmtId="2" fontId="29" fillId="6" borderId="39" xfId="0" applyNumberFormat="1" applyFont="1" applyFill="1" applyBorder="1" applyAlignment="1" applyProtection="1">
      <alignment horizontal="center"/>
      <protection hidden="1"/>
    </xf>
    <xf numFmtId="2" fontId="29" fillId="6" borderId="43" xfId="0" applyNumberFormat="1" applyFont="1" applyFill="1" applyBorder="1" applyAlignment="1" applyProtection="1">
      <alignment horizontal="center"/>
      <protection hidden="1"/>
    </xf>
    <xf numFmtId="2" fontId="28" fillId="4" borderId="42" xfId="0" applyNumberFormat="1" applyFont="1" applyFill="1" applyBorder="1" applyProtection="1">
      <protection hidden="1"/>
    </xf>
    <xf numFmtId="2" fontId="28" fillId="4" borderId="13" xfId="0" applyNumberFormat="1" applyFont="1" applyFill="1" applyBorder="1" applyProtection="1">
      <protection hidden="1"/>
    </xf>
    <xf numFmtId="2" fontId="28" fillId="4" borderId="29" xfId="0" applyNumberFormat="1" applyFont="1" applyFill="1" applyBorder="1" applyProtection="1">
      <protection hidden="1"/>
    </xf>
    <xf numFmtId="2" fontId="28" fillId="9" borderId="30" xfId="0" applyNumberFormat="1" applyFont="1" applyFill="1" applyBorder="1" applyAlignment="1" applyProtection="1">
      <alignment horizontal="center"/>
      <protection hidden="1"/>
    </xf>
    <xf numFmtId="2" fontId="28" fillId="9" borderId="31" xfId="0" applyNumberFormat="1" applyFont="1" applyFill="1" applyBorder="1" applyAlignment="1" applyProtection="1">
      <alignment horizontal="center"/>
      <protection hidden="1"/>
    </xf>
    <xf numFmtId="2" fontId="28" fillId="9" borderId="27" xfId="0" applyNumberFormat="1" applyFont="1" applyFill="1" applyBorder="1" applyAlignment="1" applyProtection="1">
      <alignment horizontal="center"/>
      <protection hidden="1"/>
    </xf>
    <xf numFmtId="2" fontId="15" fillId="4" borderId="30" xfId="0" applyNumberFormat="1" applyFont="1" applyFill="1" applyBorder="1" applyAlignment="1" applyProtection="1">
      <alignment horizontal="center"/>
      <protection hidden="1"/>
    </xf>
    <xf numFmtId="0" fontId="28" fillId="4" borderId="29" xfId="0" applyFont="1" applyFill="1" applyBorder="1" applyProtection="1">
      <protection hidden="1"/>
    </xf>
    <xf numFmtId="2" fontId="28" fillId="4" borderId="32" xfId="0" applyNumberFormat="1" applyFont="1" applyFill="1" applyBorder="1" applyProtection="1">
      <protection hidden="1"/>
    </xf>
    <xf numFmtId="2" fontId="28" fillId="4" borderId="33" xfId="0" applyNumberFormat="1" applyFont="1" applyFill="1" applyBorder="1" applyProtection="1">
      <protection hidden="1"/>
    </xf>
    <xf numFmtId="2" fontId="28" fillId="9" borderId="37" xfId="0" applyNumberFormat="1" applyFont="1" applyFill="1" applyBorder="1" applyAlignment="1" applyProtection="1">
      <alignment horizontal="center"/>
      <protection hidden="1"/>
    </xf>
    <xf numFmtId="2" fontId="28" fillId="9" borderId="35" xfId="0" applyNumberFormat="1" applyFont="1" applyFill="1" applyBorder="1" applyAlignment="1" applyProtection="1">
      <alignment horizontal="center"/>
      <protection hidden="1"/>
    </xf>
    <xf numFmtId="2" fontId="15" fillId="4" borderId="37" xfId="0" applyNumberFormat="1" applyFont="1" applyFill="1" applyBorder="1" applyAlignment="1" applyProtection="1">
      <alignment horizontal="center"/>
      <protection hidden="1"/>
    </xf>
    <xf numFmtId="0" fontId="27" fillId="5" borderId="0" xfId="0" applyFont="1" applyFill="1" applyProtection="1">
      <protection hidden="1"/>
    </xf>
    <xf numFmtId="2" fontId="28" fillId="5" borderId="0" xfId="0" applyNumberFormat="1" applyFont="1" applyFill="1" applyProtection="1">
      <protection hidden="1"/>
    </xf>
    <xf numFmtId="2" fontId="15" fillId="5" borderId="0" xfId="0" applyNumberFormat="1" applyFont="1" applyFill="1" applyAlignment="1" applyProtection="1">
      <alignment horizontal="center"/>
      <protection hidden="1"/>
    </xf>
    <xf numFmtId="0" fontId="28" fillId="5" borderId="0" xfId="0" applyFont="1" applyFill="1" applyProtection="1">
      <protection hidden="1"/>
    </xf>
    <xf numFmtId="0" fontId="27" fillId="3" borderId="16" xfId="0" applyFont="1" applyFill="1" applyBorder="1" applyProtection="1">
      <protection hidden="1"/>
    </xf>
    <xf numFmtId="0" fontId="27" fillId="3" borderId="17" xfId="0" applyFont="1" applyFill="1" applyBorder="1" applyProtection="1">
      <protection hidden="1"/>
    </xf>
    <xf numFmtId="0" fontId="27" fillId="3" borderId="6" xfId="0" applyFont="1" applyFill="1" applyBorder="1" applyProtection="1">
      <protection hidden="1"/>
    </xf>
    <xf numFmtId="2" fontId="28" fillId="4" borderId="7" xfId="0" applyNumberFormat="1" applyFont="1" applyFill="1" applyBorder="1" applyProtection="1">
      <protection hidden="1"/>
    </xf>
    <xf numFmtId="2" fontId="28" fillId="4" borderId="26" xfId="0" applyNumberFormat="1" applyFont="1" applyFill="1" applyBorder="1" applyProtection="1">
      <protection hidden="1"/>
    </xf>
    <xf numFmtId="2" fontId="29" fillId="6" borderId="49" xfId="0" applyNumberFormat="1" applyFont="1" applyFill="1" applyBorder="1" applyProtection="1">
      <protection hidden="1"/>
    </xf>
    <xf numFmtId="0" fontId="28" fillId="4" borderId="28" xfId="0" applyFont="1" applyFill="1" applyBorder="1" applyProtection="1">
      <protection hidden="1"/>
    </xf>
    <xf numFmtId="0" fontId="28" fillId="0" borderId="0" xfId="0" applyFont="1" applyProtection="1">
      <protection hidden="1"/>
    </xf>
    <xf numFmtId="2" fontId="30" fillId="9" borderId="30" xfId="0" applyNumberFormat="1" applyFont="1" applyFill="1" applyBorder="1" applyAlignment="1" applyProtection="1">
      <alignment horizontal="center"/>
      <protection hidden="1"/>
    </xf>
    <xf numFmtId="0" fontId="15" fillId="4" borderId="31" xfId="0" applyFont="1" applyFill="1" applyBorder="1" applyAlignment="1" applyProtection="1">
      <alignment horizontal="center"/>
      <protection hidden="1"/>
    </xf>
    <xf numFmtId="1" fontId="30" fillId="9" borderId="30" xfId="0" applyNumberFormat="1" applyFont="1" applyFill="1" applyBorder="1" applyAlignment="1" applyProtection="1">
      <alignment horizontal="center"/>
      <protection hidden="1"/>
    </xf>
    <xf numFmtId="0" fontId="28" fillId="4" borderId="32" xfId="0" applyFont="1" applyFill="1" applyBorder="1" applyProtection="1">
      <protection hidden="1"/>
    </xf>
    <xf numFmtId="0" fontId="28" fillId="4" borderId="33" xfId="0" applyFont="1" applyFill="1" applyBorder="1" applyProtection="1">
      <protection hidden="1"/>
    </xf>
    <xf numFmtId="2" fontId="30" fillId="9" borderId="37" xfId="0" applyNumberFormat="1" applyFont="1" applyFill="1" applyBorder="1" applyAlignment="1" applyProtection="1">
      <alignment horizontal="center"/>
      <protection hidden="1"/>
    </xf>
    <xf numFmtId="0" fontId="15" fillId="4" borderId="35" xfId="0" applyFont="1" applyFill="1" applyBorder="1" applyAlignment="1" applyProtection="1">
      <alignment horizontal="center"/>
      <protection hidden="1"/>
    </xf>
    <xf numFmtId="0" fontId="27" fillId="3" borderId="3" xfId="0" applyFont="1" applyFill="1" applyBorder="1" applyProtection="1">
      <protection hidden="1"/>
    </xf>
    <xf numFmtId="2" fontId="29" fillId="6" borderId="27" xfId="0" applyNumberFormat="1" applyFont="1" applyFill="1" applyBorder="1" applyAlignment="1" applyProtection="1">
      <alignment horizontal="center"/>
      <protection hidden="1"/>
    </xf>
    <xf numFmtId="0" fontId="15" fillId="4" borderId="28" xfId="0" applyFont="1" applyFill="1" applyBorder="1" applyAlignment="1" applyProtection="1">
      <alignment horizontal="center"/>
      <protection hidden="1"/>
    </xf>
    <xf numFmtId="2" fontId="0" fillId="5" borderId="0" xfId="0" applyNumberFormat="1" applyFill="1" applyProtection="1">
      <protection hidden="1"/>
    </xf>
    <xf numFmtId="2" fontId="0" fillId="3" borderId="17" xfId="0" applyNumberFormat="1" applyFill="1" applyBorder="1" applyProtection="1">
      <protection hidden="1"/>
    </xf>
    <xf numFmtId="2" fontId="0" fillId="3" borderId="2" xfId="0" applyNumberFormat="1" applyFill="1" applyBorder="1" applyProtection="1">
      <protection hidden="1"/>
    </xf>
    <xf numFmtId="2" fontId="5" fillId="6" borderId="0" xfId="0" applyNumberFormat="1" applyFont="1" applyFill="1" applyProtection="1">
      <protection hidden="1"/>
    </xf>
    <xf numFmtId="2" fontId="0" fillId="4" borderId="13" xfId="0" applyNumberFormat="1" applyFill="1" applyBorder="1" applyProtection="1">
      <protection hidden="1"/>
    </xf>
    <xf numFmtId="2" fontId="0" fillId="4" borderId="29" xfId="0" applyNumberFormat="1" applyFill="1" applyBorder="1" applyProtection="1">
      <protection hidden="1"/>
    </xf>
    <xf numFmtId="165" fontId="24" fillId="8" borderId="27" xfId="0" applyNumberFormat="1" applyFont="1" applyFill="1" applyBorder="1" applyAlignment="1" applyProtection="1">
      <alignment horizontal="center"/>
      <protection hidden="1"/>
    </xf>
    <xf numFmtId="0" fontId="31" fillId="4" borderId="28" xfId="0" applyFont="1" applyFill="1" applyBorder="1" applyAlignment="1" applyProtection="1">
      <alignment horizontal="center"/>
      <protection hidden="1"/>
    </xf>
    <xf numFmtId="165" fontId="24" fillId="8" borderId="30" xfId="0" applyNumberFormat="1" applyFont="1" applyFill="1" applyBorder="1" applyAlignment="1" applyProtection="1">
      <alignment horizontal="center"/>
      <protection hidden="1"/>
    </xf>
    <xf numFmtId="0" fontId="31" fillId="4" borderId="31" xfId="0" applyFont="1" applyFill="1" applyBorder="1" applyAlignment="1" applyProtection="1">
      <alignment horizontal="center"/>
      <protection hidden="1"/>
    </xf>
    <xf numFmtId="165" fontId="25" fillId="8" borderId="30" xfId="0" applyNumberFormat="1" applyFont="1" applyFill="1" applyBorder="1" applyAlignment="1" applyProtection="1">
      <alignment horizontal="center"/>
      <protection hidden="1"/>
    </xf>
    <xf numFmtId="165" fontId="25" fillId="8" borderId="37" xfId="0" applyNumberFormat="1" applyFont="1" applyFill="1" applyBorder="1" applyAlignment="1" applyProtection="1">
      <alignment horizontal="center"/>
      <protection hidden="1"/>
    </xf>
    <xf numFmtId="2" fontId="1" fillId="4" borderId="35" xfId="0" applyNumberFormat="1" applyFont="1" applyFill="1" applyBorder="1" applyAlignment="1" applyProtection="1">
      <alignment horizontal="center"/>
      <protection hidden="1"/>
    </xf>
    <xf numFmtId="2" fontId="27" fillId="3" borderId="17" xfId="0" applyNumberFormat="1" applyFont="1" applyFill="1" applyBorder="1" applyProtection="1">
      <protection hidden="1"/>
    </xf>
    <xf numFmtId="2" fontId="27" fillId="3" borderId="6" xfId="0" applyNumberFormat="1" applyFont="1" applyFill="1" applyBorder="1" applyProtection="1">
      <protection hidden="1"/>
    </xf>
    <xf numFmtId="2" fontId="28" fillId="3" borderId="17" xfId="0" applyNumberFormat="1" applyFont="1" applyFill="1" applyBorder="1" applyProtection="1">
      <protection hidden="1"/>
    </xf>
    <xf numFmtId="2" fontId="28" fillId="3" borderId="6" xfId="0" applyNumberFormat="1" applyFont="1" applyFill="1" applyBorder="1" applyProtection="1">
      <protection hidden="1"/>
    </xf>
    <xf numFmtId="0" fontId="28" fillId="4" borderId="7" xfId="0" applyFont="1" applyFill="1" applyBorder="1" applyProtection="1">
      <protection hidden="1"/>
    </xf>
    <xf numFmtId="0" fontId="28" fillId="4" borderId="8" xfId="0" applyFont="1" applyFill="1" applyBorder="1" applyProtection="1">
      <protection hidden="1"/>
    </xf>
    <xf numFmtId="2" fontId="29" fillId="6" borderId="5" xfId="0" applyNumberFormat="1" applyFont="1" applyFill="1" applyBorder="1" applyProtection="1">
      <protection hidden="1"/>
    </xf>
    <xf numFmtId="0" fontId="28" fillId="4" borderId="6" xfId="0" applyFont="1" applyFill="1" applyBorder="1" applyProtection="1">
      <protection hidden="1"/>
    </xf>
    <xf numFmtId="0" fontId="28" fillId="4" borderId="26" xfId="0" applyFont="1" applyFill="1" applyBorder="1" applyProtection="1">
      <protection hidden="1"/>
    </xf>
    <xf numFmtId="165" fontId="30" fillId="8" borderId="27" xfId="0" applyNumberFormat="1" applyFont="1" applyFill="1" applyBorder="1" applyAlignment="1" applyProtection="1">
      <alignment horizontal="center"/>
      <protection hidden="1"/>
    </xf>
    <xf numFmtId="165" fontId="28" fillId="8" borderId="27" xfId="0" applyNumberFormat="1" applyFont="1" applyFill="1" applyBorder="1" applyAlignment="1" applyProtection="1">
      <alignment horizontal="center"/>
      <protection hidden="1"/>
    </xf>
    <xf numFmtId="165" fontId="30" fillId="8" borderId="30" xfId="0" applyNumberFormat="1" applyFont="1" applyFill="1" applyBorder="1" applyAlignment="1" applyProtection="1">
      <alignment horizontal="center"/>
      <protection hidden="1"/>
    </xf>
    <xf numFmtId="165" fontId="28" fillId="8" borderId="30" xfId="0" applyNumberFormat="1" applyFont="1" applyFill="1" applyBorder="1" applyAlignment="1" applyProtection="1">
      <alignment horizontal="center"/>
      <protection hidden="1"/>
    </xf>
    <xf numFmtId="2" fontId="15" fillId="4" borderId="31" xfId="0" applyNumberFormat="1" applyFont="1" applyFill="1" applyBorder="1" applyAlignment="1" applyProtection="1">
      <alignment horizontal="center"/>
      <protection hidden="1"/>
    </xf>
    <xf numFmtId="165" fontId="30" fillId="8" borderId="37" xfId="0" applyNumberFormat="1" applyFont="1" applyFill="1" applyBorder="1" applyAlignment="1" applyProtection="1">
      <alignment horizontal="center"/>
      <protection hidden="1"/>
    </xf>
    <xf numFmtId="2" fontId="15" fillId="4" borderId="35" xfId="0" applyNumberFormat="1" applyFont="1" applyFill="1" applyBorder="1" applyAlignment="1" applyProtection="1">
      <alignment horizontal="center"/>
      <protection hidden="1"/>
    </xf>
    <xf numFmtId="0" fontId="13" fillId="0" borderId="0" xfId="0" applyFont="1" applyProtection="1">
      <protection hidden="1"/>
    </xf>
    <xf numFmtId="0" fontId="21" fillId="0" borderId="0" xfId="0" applyFont="1" applyProtection="1">
      <protection hidden="1"/>
    </xf>
    <xf numFmtId="2" fontId="21" fillId="0" borderId="0" xfId="0" applyNumberFormat="1" applyFont="1" applyProtection="1">
      <protection hidden="1"/>
    </xf>
    <xf numFmtId="0" fontId="3" fillId="0" borderId="0" xfId="0" applyFont="1"/>
    <xf numFmtId="1" fontId="0" fillId="0" borderId="0" xfId="0" applyNumberFormat="1" applyProtection="1">
      <protection hidden="1"/>
    </xf>
    <xf numFmtId="0" fontId="0" fillId="0" borderId="20" xfId="0" applyBorder="1" applyAlignment="1" applyProtection="1">
      <alignment horizontal="center"/>
      <protection hidden="1"/>
    </xf>
    <xf numFmtId="0" fontId="0" fillId="0" borderId="15" xfId="0" applyBorder="1" applyAlignment="1" applyProtection="1">
      <alignment horizontal="center"/>
      <protection hidden="1"/>
    </xf>
    <xf numFmtId="0" fontId="0" fillId="0" borderId="16" xfId="0" applyBorder="1" applyProtection="1">
      <protection locked="0" hidden="1"/>
    </xf>
    <xf numFmtId="0" fontId="0" fillId="0" borderId="17" xfId="0" applyBorder="1" applyProtection="1">
      <protection locked="0" hidden="1"/>
    </xf>
    <xf numFmtId="11" fontId="0" fillId="0" borderId="6" xfId="0" applyNumberFormat="1" applyBorder="1" applyProtection="1">
      <protection locked="0" hidden="1"/>
    </xf>
    <xf numFmtId="0" fontId="0" fillId="0" borderId="41" xfId="0" applyBorder="1" applyProtection="1">
      <protection locked="0" hidden="1"/>
    </xf>
    <xf numFmtId="2" fontId="0" fillId="0" borderId="0" xfId="0" applyNumberFormat="1" applyProtection="1">
      <protection locked="0" hidden="1"/>
    </xf>
    <xf numFmtId="11" fontId="0" fillId="0" borderId="43" xfId="0" applyNumberFormat="1" applyBorder="1" applyProtection="1">
      <protection locked="0" hidden="1"/>
    </xf>
    <xf numFmtId="2" fontId="0" fillId="0" borderId="41" xfId="0" applyNumberFormat="1" applyBorder="1" applyProtection="1">
      <protection locked="0" hidden="1"/>
    </xf>
    <xf numFmtId="0" fontId="0" fillId="0" borderId="43" xfId="0" applyBorder="1" applyProtection="1">
      <protection locked="0" hidden="1"/>
    </xf>
    <xf numFmtId="0" fontId="0" fillId="0" borderId="51" xfId="0" applyBorder="1" applyAlignment="1" applyProtection="1">
      <alignment horizontal="center"/>
      <protection hidden="1"/>
    </xf>
    <xf numFmtId="2" fontId="0" fillId="0" borderId="43" xfId="0" applyNumberFormat="1" applyBorder="1" applyProtection="1">
      <protection locked="0" hidden="1"/>
    </xf>
    <xf numFmtId="2" fontId="0" fillId="0" borderId="46" xfId="0" applyNumberFormat="1" applyBorder="1" applyProtection="1">
      <protection locked="0" hidden="1"/>
    </xf>
    <xf numFmtId="11" fontId="0" fillId="0" borderId="47" xfId="0" applyNumberFormat="1" applyBorder="1" applyProtection="1">
      <protection locked="0" hidden="1"/>
    </xf>
    <xf numFmtId="2" fontId="0" fillId="0" borderId="48" xfId="0" applyNumberFormat="1" applyBorder="1" applyProtection="1">
      <protection locked="0" hidden="1"/>
    </xf>
    <xf numFmtId="0" fontId="0" fillId="0" borderId="0" xfId="0" applyAlignment="1">
      <alignment horizontal="center"/>
    </xf>
    <xf numFmtId="2" fontId="0" fillId="0" borderId="46" xfId="0" applyNumberFormat="1" applyBorder="1" applyProtection="1">
      <protection hidden="1"/>
    </xf>
    <xf numFmtId="0" fontId="0" fillId="0" borderId="16" xfId="0" applyBorder="1" applyProtection="1">
      <protection hidden="1"/>
    </xf>
    <xf numFmtId="2" fontId="7" fillId="3" borderId="16" xfId="0" applyNumberFormat="1" applyFont="1" applyFill="1" applyBorder="1" applyProtection="1">
      <protection hidden="1"/>
    </xf>
    <xf numFmtId="2" fontId="21" fillId="3" borderId="17" xfId="0" applyNumberFormat="1" applyFont="1" applyFill="1" applyBorder="1" applyProtection="1">
      <protection hidden="1"/>
    </xf>
    <xf numFmtId="2" fontId="16" fillId="3" borderId="16" xfId="0" applyNumberFormat="1" applyFont="1" applyFill="1" applyBorder="1" applyProtection="1">
      <protection hidden="1"/>
    </xf>
    <xf numFmtId="2" fontId="16" fillId="3" borderId="17" xfId="0" applyNumberFormat="1" applyFont="1" applyFill="1" applyBorder="1" applyProtection="1">
      <protection hidden="1"/>
    </xf>
    <xf numFmtId="0" fontId="7" fillId="3" borderId="1" xfId="0" applyFont="1" applyFill="1" applyBorder="1" applyProtection="1">
      <protection hidden="1"/>
    </xf>
    <xf numFmtId="0" fontId="7" fillId="3" borderId="2" xfId="0" applyFont="1" applyFill="1" applyBorder="1" applyProtection="1">
      <protection hidden="1"/>
    </xf>
    <xf numFmtId="2" fontId="7" fillId="3" borderId="1" xfId="0" applyNumberFormat="1" applyFont="1" applyFill="1" applyBorder="1" applyAlignment="1" applyProtection="1">
      <alignment horizontal="center"/>
      <protection hidden="1"/>
    </xf>
    <xf numFmtId="0" fontId="7" fillId="3" borderId="2" xfId="0" applyFont="1" applyFill="1" applyBorder="1" applyAlignment="1" applyProtection="1">
      <alignment horizontal="left"/>
      <protection hidden="1"/>
    </xf>
    <xf numFmtId="2" fontId="7" fillId="3" borderId="3" xfId="0" applyNumberFormat="1" applyFont="1" applyFill="1" applyBorder="1" applyAlignment="1" applyProtection="1">
      <alignment horizontal="center"/>
      <protection hidden="1"/>
    </xf>
    <xf numFmtId="1" fontId="0" fillId="0" borderId="0" xfId="0" applyNumberFormat="1"/>
    <xf numFmtId="164" fontId="0" fillId="0" borderId="0" xfId="0" applyNumberFormat="1"/>
    <xf numFmtId="11" fontId="0" fillId="0" borderId="47" xfId="0" applyNumberFormat="1" applyBorder="1" applyProtection="1">
      <protection hidden="1"/>
    </xf>
    <xf numFmtId="0" fontId="0" fillId="0" borderId="17" xfId="0" applyBorder="1" applyProtection="1">
      <protection hidden="1"/>
    </xf>
    <xf numFmtId="11" fontId="0" fillId="0" borderId="6" xfId="0" applyNumberFormat="1" applyBorder="1" applyProtection="1">
      <protection hidden="1"/>
    </xf>
    <xf numFmtId="11" fontId="0" fillId="0" borderId="43" xfId="0" applyNumberFormat="1" applyBorder="1" applyProtection="1">
      <protection hidden="1"/>
    </xf>
    <xf numFmtId="2" fontId="0" fillId="4" borderId="1" xfId="0" applyNumberFormat="1" applyFill="1" applyBorder="1" applyProtection="1">
      <protection hidden="1"/>
    </xf>
    <xf numFmtId="0" fontId="9" fillId="4" borderId="1" xfId="0" applyFont="1" applyFill="1" applyBorder="1" applyProtection="1">
      <protection hidden="1"/>
    </xf>
    <xf numFmtId="0" fontId="9" fillId="4" borderId="3" xfId="0" applyFont="1" applyFill="1" applyBorder="1" applyProtection="1">
      <protection hidden="1"/>
    </xf>
    <xf numFmtId="0" fontId="9" fillId="5" borderId="3" xfId="0" applyFont="1" applyFill="1" applyBorder="1" applyAlignment="1" applyProtection="1">
      <alignment horizontal="center"/>
      <protection hidden="1"/>
    </xf>
    <xf numFmtId="0" fontId="0" fillId="4" borderId="56" xfId="0" applyFill="1" applyBorder="1" applyProtection="1">
      <protection hidden="1"/>
    </xf>
    <xf numFmtId="2" fontId="6" fillId="9" borderId="10" xfId="0" applyNumberFormat="1" applyFont="1" applyFill="1" applyBorder="1" applyAlignment="1" applyProtection="1">
      <alignment horizontal="center"/>
      <protection hidden="1"/>
    </xf>
    <xf numFmtId="2" fontId="6" fillId="9" borderId="44" xfId="0" applyNumberFormat="1" applyFont="1" applyFill="1" applyBorder="1" applyAlignment="1" applyProtection="1">
      <alignment horizontal="center"/>
      <protection hidden="1"/>
    </xf>
    <xf numFmtId="2" fontId="6" fillId="9" borderId="45" xfId="0" applyNumberFormat="1" applyFont="1" applyFill="1" applyBorder="1" applyAlignment="1" applyProtection="1">
      <alignment horizontal="left"/>
      <protection hidden="1"/>
    </xf>
    <xf numFmtId="2" fontId="0" fillId="4" borderId="56" xfId="0" applyNumberFormat="1" applyFill="1" applyBorder="1" applyProtection="1">
      <protection hidden="1"/>
    </xf>
    <xf numFmtId="0" fontId="0" fillId="4" borderId="3" xfId="0" applyFill="1" applyBorder="1" applyProtection="1">
      <protection hidden="1"/>
    </xf>
    <xf numFmtId="1" fontId="9" fillId="4" borderId="1" xfId="0" applyNumberFormat="1" applyFont="1" applyFill="1" applyBorder="1" applyAlignment="1" applyProtection="1">
      <alignment horizontal="left"/>
      <protection hidden="1"/>
    </xf>
    <xf numFmtId="0" fontId="0" fillId="4" borderId="60" xfId="0" applyFill="1" applyBorder="1" applyAlignment="1" applyProtection="1">
      <alignment horizontal="center"/>
      <protection hidden="1"/>
    </xf>
    <xf numFmtId="1" fontId="0" fillId="4" borderId="18" xfId="0" applyNumberFormat="1" applyFill="1" applyBorder="1" applyAlignment="1" applyProtection="1">
      <alignment horizontal="center"/>
      <protection hidden="1"/>
    </xf>
    <xf numFmtId="1" fontId="0" fillId="0" borderId="19" xfId="0" applyNumberFormat="1" applyBorder="1" applyAlignment="1" applyProtection="1">
      <alignment horizontal="center"/>
      <protection hidden="1"/>
    </xf>
    <xf numFmtId="2" fontId="0" fillId="0" borderId="19" xfId="0" applyNumberFormat="1" applyBorder="1" applyAlignment="1" applyProtection="1">
      <alignment horizontal="center"/>
      <protection hidden="1"/>
    </xf>
    <xf numFmtId="2" fontId="0" fillId="4" borderId="20" xfId="0" applyNumberFormat="1" applyFill="1" applyBorder="1" applyAlignment="1" applyProtection="1">
      <alignment horizontal="left"/>
      <protection hidden="1"/>
    </xf>
    <xf numFmtId="1" fontId="0" fillId="0" borderId="42" xfId="0" applyNumberFormat="1" applyBorder="1" applyAlignment="1" applyProtection="1">
      <alignment horizontal="center"/>
      <protection hidden="1"/>
    </xf>
    <xf numFmtId="2" fontId="8" fillId="0" borderId="19" xfId="0" applyNumberFormat="1" applyFont="1" applyBorder="1" applyAlignment="1" applyProtection="1">
      <alignment horizontal="center"/>
      <protection hidden="1"/>
    </xf>
    <xf numFmtId="0" fontId="0" fillId="0" borderId="43" xfId="0" applyBorder="1" applyProtection="1">
      <protection hidden="1"/>
    </xf>
    <xf numFmtId="1" fontId="0" fillId="4" borderId="13" xfId="0" applyNumberFormat="1" applyFill="1" applyBorder="1" applyAlignment="1" applyProtection="1">
      <alignment horizontal="center"/>
      <protection hidden="1"/>
    </xf>
    <xf numFmtId="2" fontId="0" fillId="4" borderId="15" xfId="0" applyNumberFormat="1" applyFill="1" applyBorder="1" applyAlignment="1" applyProtection="1">
      <alignment horizontal="left"/>
      <protection hidden="1"/>
    </xf>
    <xf numFmtId="1" fontId="0" fillId="0" borderId="30" xfId="0" applyNumberFormat="1" applyBorder="1" applyAlignment="1" applyProtection="1">
      <alignment horizontal="center"/>
      <protection hidden="1"/>
    </xf>
    <xf numFmtId="1" fontId="7" fillId="3" borderId="1" xfId="0" applyNumberFormat="1" applyFont="1" applyFill="1" applyBorder="1" applyAlignment="1" applyProtection="1">
      <alignment horizontal="left"/>
      <protection hidden="1"/>
    </xf>
    <xf numFmtId="1" fontId="21" fillId="3" borderId="2" xfId="0" applyNumberFormat="1" applyFont="1" applyFill="1" applyBorder="1" applyAlignment="1" applyProtection="1">
      <alignment horizontal="center"/>
      <protection hidden="1"/>
    </xf>
    <xf numFmtId="0" fontId="21" fillId="3" borderId="3" xfId="0" applyFont="1" applyFill="1" applyBorder="1" applyProtection="1">
      <protection hidden="1"/>
    </xf>
    <xf numFmtId="1" fontId="0" fillId="4" borderId="7" xfId="0" applyNumberFormat="1" applyFill="1" applyBorder="1" applyAlignment="1" applyProtection="1">
      <alignment horizontal="left"/>
      <protection hidden="1"/>
    </xf>
    <xf numFmtId="2" fontId="0" fillId="5" borderId="26" xfId="0" applyNumberFormat="1" applyFill="1" applyBorder="1" applyAlignment="1" applyProtection="1">
      <alignment horizontal="center"/>
      <protection hidden="1"/>
    </xf>
    <xf numFmtId="0" fontId="0" fillId="4" borderId="9" xfId="0" applyFill="1" applyBorder="1" applyAlignment="1" applyProtection="1">
      <alignment horizontal="center"/>
      <protection hidden="1"/>
    </xf>
    <xf numFmtId="1" fontId="0" fillId="4" borderId="13" xfId="0" applyNumberFormat="1" applyFill="1" applyBorder="1" applyAlignment="1" applyProtection="1">
      <alignment horizontal="left"/>
      <protection hidden="1"/>
    </xf>
    <xf numFmtId="0" fontId="0" fillId="4" borderId="15" xfId="0" applyFill="1" applyBorder="1" applyAlignment="1" applyProtection="1">
      <alignment horizontal="center"/>
      <protection hidden="1"/>
    </xf>
    <xf numFmtId="0" fontId="0" fillId="2" borderId="0" xfId="0" applyFill="1"/>
    <xf numFmtId="1" fontId="32" fillId="4" borderId="1" xfId="0" applyNumberFormat="1" applyFont="1" applyFill="1" applyBorder="1" applyAlignment="1" applyProtection="1">
      <alignment horizontal="left"/>
      <protection hidden="1"/>
    </xf>
    <xf numFmtId="1" fontId="32" fillId="5" borderId="10" xfId="0" applyNumberFormat="1" applyFont="1" applyFill="1" applyBorder="1" applyAlignment="1" applyProtection="1">
      <alignment horizontal="center"/>
      <protection hidden="1"/>
    </xf>
    <xf numFmtId="0" fontId="32" fillId="4" borderId="45" xfId="0" applyFont="1" applyFill="1" applyBorder="1" applyAlignment="1" applyProtection="1">
      <alignment horizontal="center"/>
      <protection hidden="1"/>
    </xf>
    <xf numFmtId="1" fontId="0" fillId="0" borderId="37" xfId="0" applyNumberFormat="1" applyBorder="1" applyAlignment="1" applyProtection="1">
      <alignment horizontal="center"/>
      <protection hidden="1"/>
    </xf>
    <xf numFmtId="0" fontId="0" fillId="0" borderId="48" xfId="0" applyBorder="1" applyProtection="1">
      <protection hidden="1"/>
    </xf>
    <xf numFmtId="0" fontId="7" fillId="3" borderId="16" xfId="0" applyFont="1" applyFill="1" applyBorder="1" applyAlignment="1" applyProtection="1">
      <alignment horizontal="left"/>
      <protection hidden="1"/>
    </xf>
    <xf numFmtId="0" fontId="0" fillId="4" borderId="8" xfId="0" applyFill="1" applyBorder="1" applyProtection="1">
      <protection hidden="1"/>
    </xf>
    <xf numFmtId="0" fontId="0" fillId="0" borderId="8" xfId="0" applyBorder="1" applyAlignment="1" applyProtection="1">
      <alignment horizontal="center"/>
      <protection hidden="1"/>
    </xf>
    <xf numFmtId="0" fontId="0" fillId="4" borderId="28" xfId="0" applyFill="1" applyBorder="1" applyProtection="1">
      <protection hidden="1"/>
    </xf>
    <xf numFmtId="2" fontId="7" fillId="3" borderId="4" xfId="0" applyNumberFormat="1" applyFont="1" applyFill="1" applyBorder="1" applyAlignment="1" applyProtection="1">
      <alignment horizontal="left"/>
      <protection hidden="1"/>
    </xf>
    <xf numFmtId="2" fontId="7" fillId="3" borderId="5" xfId="0" applyNumberFormat="1" applyFont="1" applyFill="1" applyBorder="1" applyAlignment="1" applyProtection="1">
      <alignment horizontal="left"/>
      <protection hidden="1"/>
    </xf>
    <xf numFmtId="1" fontId="7" fillId="3" borderId="5" xfId="0" applyNumberFormat="1" applyFont="1" applyFill="1" applyBorder="1" applyAlignment="1" applyProtection="1">
      <alignment horizontal="center"/>
      <protection hidden="1"/>
    </xf>
    <xf numFmtId="0" fontId="7" fillId="3" borderId="6" xfId="0" applyFont="1" applyFill="1" applyBorder="1" applyProtection="1">
      <protection hidden="1"/>
    </xf>
    <xf numFmtId="0" fontId="0" fillId="4" borderId="31" xfId="0" applyFill="1" applyBorder="1" applyProtection="1">
      <protection hidden="1"/>
    </xf>
    <xf numFmtId="2" fontId="9" fillId="4" borderId="8" xfId="0" applyNumberFormat="1" applyFont="1" applyFill="1" applyBorder="1" applyAlignment="1" applyProtection="1">
      <alignment horizontal="left"/>
      <protection hidden="1"/>
    </xf>
    <xf numFmtId="1" fontId="10" fillId="5" borderId="8" xfId="0" applyNumberFormat="1" applyFont="1" applyFill="1" applyBorder="1" applyAlignment="1" applyProtection="1">
      <alignment horizontal="center"/>
      <protection hidden="1"/>
    </xf>
    <xf numFmtId="0" fontId="9" fillId="4" borderId="9" xfId="0" applyFont="1" applyFill="1" applyBorder="1" applyProtection="1">
      <protection hidden="1"/>
    </xf>
    <xf numFmtId="2" fontId="9" fillId="4" borderId="13" xfId="0" applyNumberFormat="1" applyFont="1" applyFill="1" applyBorder="1" applyAlignment="1" applyProtection="1">
      <alignment horizontal="left"/>
      <protection hidden="1"/>
    </xf>
    <xf numFmtId="2" fontId="9" fillId="4" borderId="14" xfId="0" applyNumberFormat="1" applyFont="1" applyFill="1" applyBorder="1" applyAlignment="1" applyProtection="1">
      <alignment horizontal="left"/>
      <protection hidden="1"/>
    </xf>
    <xf numFmtId="1" fontId="10" fillId="5" borderId="14" xfId="0" applyNumberFormat="1" applyFont="1" applyFill="1" applyBorder="1" applyAlignment="1" applyProtection="1">
      <alignment horizontal="center"/>
      <protection hidden="1"/>
    </xf>
    <xf numFmtId="11" fontId="9" fillId="4" borderId="15" xfId="0" applyNumberFormat="1" applyFont="1" applyFill="1" applyBorder="1" applyProtection="1">
      <protection hidden="1"/>
    </xf>
    <xf numFmtId="2" fontId="0" fillId="4" borderId="50" xfId="0" applyNumberFormat="1" applyFill="1" applyBorder="1" applyProtection="1">
      <protection hidden="1"/>
    </xf>
    <xf numFmtId="0" fontId="0" fillId="4" borderId="35" xfId="0" applyFill="1" applyBorder="1" applyProtection="1">
      <protection hidden="1"/>
    </xf>
    <xf numFmtId="1" fontId="0" fillId="4" borderId="32" xfId="0" applyNumberFormat="1" applyFill="1" applyBorder="1" applyAlignment="1" applyProtection="1">
      <alignment horizontal="center"/>
      <protection hidden="1"/>
    </xf>
    <xf numFmtId="2" fontId="0" fillId="4" borderId="51" xfId="0" applyNumberFormat="1" applyFill="1" applyBorder="1" applyAlignment="1" applyProtection="1">
      <alignment horizontal="left"/>
      <protection hidden="1"/>
    </xf>
    <xf numFmtId="0" fontId="7" fillId="3" borderId="16" xfId="0" applyFont="1" applyFill="1" applyBorder="1" applyProtection="1">
      <protection hidden="1"/>
    </xf>
    <xf numFmtId="0" fontId="16" fillId="3" borderId="1" xfId="0" applyFont="1" applyFill="1" applyBorder="1" applyProtection="1">
      <protection hidden="1"/>
    </xf>
    <xf numFmtId="0" fontId="16" fillId="3" borderId="2" xfId="0" applyFont="1" applyFill="1" applyBorder="1" applyProtection="1">
      <protection hidden="1"/>
    </xf>
    <xf numFmtId="0" fontId="16" fillId="3" borderId="3" xfId="0" applyFont="1" applyFill="1" applyBorder="1" applyProtection="1">
      <protection hidden="1"/>
    </xf>
    <xf numFmtId="0" fontId="0" fillId="0" borderId="49" xfId="0" applyBorder="1" applyProtection="1">
      <protection hidden="1"/>
    </xf>
    <xf numFmtId="0" fontId="0" fillId="4" borderId="49" xfId="0" applyFill="1" applyBorder="1" applyProtection="1">
      <protection hidden="1"/>
    </xf>
    <xf numFmtId="2" fontId="7" fillId="3" borderId="1" xfId="0" applyNumberFormat="1" applyFont="1" applyFill="1" applyBorder="1" applyProtection="1">
      <protection hidden="1"/>
    </xf>
    <xf numFmtId="2" fontId="21" fillId="3" borderId="2" xfId="0" applyNumberFormat="1" applyFont="1" applyFill="1" applyBorder="1" applyProtection="1">
      <protection hidden="1"/>
    </xf>
    <xf numFmtId="0" fontId="21" fillId="3" borderId="2" xfId="0" applyFont="1" applyFill="1" applyBorder="1" applyProtection="1">
      <protection hidden="1"/>
    </xf>
    <xf numFmtId="11" fontId="10" fillId="4" borderId="9" xfId="0" applyNumberFormat="1" applyFont="1" applyFill="1" applyBorder="1" applyProtection="1">
      <protection hidden="1"/>
    </xf>
    <xf numFmtId="1" fontId="0" fillId="0" borderId="52" xfId="0" applyNumberFormat="1" applyBorder="1" applyAlignment="1" applyProtection="1">
      <alignment horizontal="center"/>
      <protection hidden="1"/>
    </xf>
    <xf numFmtId="0" fontId="0" fillId="4" borderId="52" xfId="0" applyFill="1" applyBorder="1" applyProtection="1">
      <protection hidden="1"/>
    </xf>
    <xf numFmtId="2" fontId="0" fillId="5" borderId="10" xfId="0" applyNumberFormat="1" applyFill="1" applyBorder="1" applyProtection="1">
      <protection hidden="1"/>
    </xf>
    <xf numFmtId="2" fontId="0" fillId="5" borderId="44" xfId="0" applyNumberFormat="1" applyFill="1" applyBorder="1" applyProtection="1">
      <protection hidden="1"/>
    </xf>
    <xf numFmtId="0" fontId="0" fillId="5" borderId="44" xfId="0" applyFill="1" applyBorder="1" applyProtection="1">
      <protection hidden="1"/>
    </xf>
    <xf numFmtId="0" fontId="0" fillId="5" borderId="45" xfId="0" applyFill="1" applyBorder="1" applyProtection="1">
      <protection hidden="1"/>
    </xf>
    <xf numFmtId="2" fontId="9" fillId="4" borderId="50" xfId="0" applyNumberFormat="1" applyFont="1" applyFill="1" applyBorder="1" applyAlignment="1" applyProtection="1">
      <alignment horizontal="left"/>
      <protection hidden="1"/>
    </xf>
    <xf numFmtId="2" fontId="10" fillId="5" borderId="8" xfId="0" applyNumberFormat="1" applyFont="1" applyFill="1" applyBorder="1" applyAlignment="1" applyProtection="1">
      <alignment horizontal="center"/>
      <protection hidden="1"/>
    </xf>
    <xf numFmtId="2" fontId="10" fillId="4" borderId="51" xfId="0" applyNumberFormat="1" applyFont="1" applyFill="1" applyBorder="1" applyProtection="1">
      <protection hidden="1"/>
    </xf>
    <xf numFmtId="2" fontId="0" fillId="0" borderId="52" xfId="0" applyNumberFormat="1" applyBorder="1" applyAlignment="1" applyProtection="1">
      <alignment horizontal="center"/>
      <protection hidden="1"/>
    </xf>
    <xf numFmtId="1" fontId="0" fillId="4" borderId="7" xfId="0" applyNumberFormat="1" applyFill="1" applyBorder="1" applyAlignment="1" applyProtection="1">
      <alignment horizontal="center"/>
      <protection hidden="1"/>
    </xf>
    <xf numFmtId="2" fontId="0" fillId="0" borderId="8" xfId="0" applyNumberFormat="1" applyBorder="1" applyAlignment="1" applyProtection="1">
      <alignment horizontal="center"/>
      <protection hidden="1"/>
    </xf>
    <xf numFmtId="0" fontId="0" fillId="0" borderId="6" xfId="0" applyBorder="1" applyAlignment="1" applyProtection="1">
      <alignment horizontal="center"/>
      <protection hidden="1"/>
    </xf>
    <xf numFmtId="2" fontId="18" fillId="4" borderId="50" xfId="0" applyNumberFormat="1" applyFont="1" applyFill="1" applyBorder="1" applyAlignment="1" applyProtection="1">
      <alignment horizontal="left"/>
      <protection hidden="1"/>
    </xf>
    <xf numFmtId="0" fontId="0" fillId="0" borderId="43" xfId="0" applyBorder="1" applyAlignment="1" applyProtection="1">
      <alignment horizontal="center"/>
      <protection hidden="1"/>
    </xf>
    <xf numFmtId="0" fontId="0" fillId="0" borderId="14" xfId="0" applyBorder="1" applyAlignment="1" applyProtection="1">
      <alignment horizontal="center"/>
      <protection hidden="1"/>
    </xf>
    <xf numFmtId="2" fontId="9" fillId="4" borderId="19" xfId="0" applyNumberFormat="1" applyFont="1" applyFill="1" applyBorder="1" applyAlignment="1" applyProtection="1">
      <alignment horizontal="center"/>
      <protection hidden="1"/>
    </xf>
    <xf numFmtId="2" fontId="10" fillId="5" borderId="19" xfId="0" applyNumberFormat="1" applyFont="1" applyFill="1" applyBorder="1" applyAlignment="1" applyProtection="1">
      <alignment horizontal="center"/>
      <protection hidden="1"/>
    </xf>
    <xf numFmtId="2" fontId="24" fillId="4" borderId="20" xfId="0" applyNumberFormat="1" applyFont="1" applyFill="1" applyBorder="1" applyProtection="1">
      <protection hidden="1"/>
    </xf>
    <xf numFmtId="2" fontId="0" fillId="4" borderId="48" xfId="0" applyNumberFormat="1" applyFill="1" applyBorder="1" applyProtection="1">
      <protection hidden="1"/>
    </xf>
    <xf numFmtId="2" fontId="0" fillId="0" borderId="60" xfId="0" applyNumberFormat="1" applyBorder="1" applyAlignment="1" applyProtection="1">
      <alignment horizontal="center"/>
      <protection hidden="1"/>
    </xf>
    <xf numFmtId="0" fontId="0" fillId="4" borderId="60" xfId="0" applyFill="1" applyBorder="1" applyProtection="1">
      <protection hidden="1"/>
    </xf>
    <xf numFmtId="2" fontId="0" fillId="0" borderId="50" xfId="0" applyNumberFormat="1" applyBorder="1" applyAlignment="1" applyProtection="1">
      <alignment horizontal="center"/>
      <protection hidden="1"/>
    </xf>
    <xf numFmtId="2" fontId="0" fillId="0" borderId="24" xfId="0" applyNumberFormat="1" applyBorder="1" applyAlignment="1" applyProtection="1">
      <alignment horizontal="center"/>
      <protection hidden="1"/>
    </xf>
    <xf numFmtId="0" fontId="0" fillId="0" borderId="48" xfId="0" applyBorder="1" applyAlignment="1" applyProtection="1">
      <alignment horizontal="center"/>
      <protection hidden="1"/>
    </xf>
    <xf numFmtId="2" fontId="9" fillId="4" borderId="50" xfId="0" applyNumberFormat="1" applyFont="1" applyFill="1" applyBorder="1" applyAlignment="1" applyProtection="1">
      <alignment horizontal="center"/>
      <protection hidden="1"/>
    </xf>
    <xf numFmtId="2" fontId="24" fillId="4" borderId="51" xfId="0" applyNumberFormat="1" applyFont="1" applyFill="1" applyBorder="1" applyProtection="1">
      <protection hidden="1"/>
    </xf>
    <xf numFmtId="0" fontId="0" fillId="0" borderId="0" xfId="0" applyAlignment="1" applyProtection="1">
      <alignment horizontal="center"/>
      <protection hidden="1"/>
    </xf>
    <xf numFmtId="0" fontId="0" fillId="3" borderId="3" xfId="0" applyFill="1" applyBorder="1" applyProtection="1">
      <protection hidden="1"/>
    </xf>
    <xf numFmtId="2" fontId="0" fillId="9" borderId="6" xfId="0" applyNumberFormat="1" applyFill="1" applyBorder="1" applyAlignment="1" applyProtection="1">
      <alignment horizontal="center"/>
      <protection hidden="1"/>
    </xf>
    <xf numFmtId="0" fontId="0" fillId="4" borderId="18" xfId="0" applyFill="1" applyBorder="1" applyProtection="1">
      <protection hidden="1"/>
    </xf>
    <xf numFmtId="0" fontId="0" fillId="9" borderId="15" xfId="0" applyFill="1" applyBorder="1" applyAlignment="1" applyProtection="1">
      <alignment horizontal="center"/>
      <protection hidden="1"/>
    </xf>
    <xf numFmtId="2" fontId="8" fillId="12" borderId="0" xfId="0" applyNumberFormat="1" applyFont="1" applyFill="1" applyProtection="1">
      <protection locked="0" hidden="1"/>
    </xf>
    <xf numFmtId="0" fontId="0" fillId="4" borderId="32" xfId="0" applyFill="1" applyBorder="1" applyProtection="1">
      <protection locked="0" hidden="1"/>
    </xf>
    <xf numFmtId="0" fontId="0" fillId="4" borderId="50" xfId="0" applyFill="1" applyBorder="1" applyProtection="1">
      <protection locked="0" hidden="1"/>
    </xf>
    <xf numFmtId="0" fontId="0" fillId="9" borderId="51" xfId="0" applyFill="1" applyBorder="1" applyAlignment="1" applyProtection="1">
      <alignment horizontal="center"/>
      <protection locked="0" hidden="1"/>
    </xf>
    <xf numFmtId="2" fontId="8" fillId="6" borderId="10" xfId="0" applyNumberFormat="1" applyFont="1" applyFill="1" applyBorder="1" applyProtection="1">
      <protection locked="0" hidden="1"/>
    </xf>
    <xf numFmtId="2" fontId="8" fillId="6" borderId="11" xfId="0" applyNumberFormat="1" applyFont="1" applyFill="1" applyBorder="1" applyAlignment="1" applyProtection="1">
      <alignment vertical="center" wrapText="1"/>
      <protection locked="0" hidden="1"/>
    </xf>
    <xf numFmtId="2" fontId="8" fillId="6" borderId="1" xfId="0" applyNumberFormat="1" applyFont="1" applyFill="1" applyBorder="1" applyAlignment="1" applyProtection="1">
      <alignment vertical="center" wrapText="1"/>
      <protection locked="0" hidden="1"/>
    </xf>
    <xf numFmtId="2" fontId="8" fillId="6" borderId="2" xfId="0" applyNumberFormat="1" applyFont="1" applyFill="1" applyBorder="1" applyProtection="1">
      <protection locked="0" hidden="1"/>
    </xf>
    <xf numFmtId="2" fontId="8" fillId="7" borderId="14" xfId="0" applyNumberFormat="1" applyFont="1" applyFill="1" applyBorder="1" applyAlignment="1" applyProtection="1">
      <alignment horizontal="center"/>
      <protection locked="0" hidden="1"/>
    </xf>
    <xf numFmtId="2" fontId="0" fillId="0" borderId="16" xfId="0" applyNumberFormat="1" applyBorder="1" applyProtection="1">
      <protection locked="0" hidden="1"/>
    </xf>
    <xf numFmtId="2" fontId="0" fillId="0" borderId="17" xfId="0" applyNumberFormat="1" applyBorder="1" applyProtection="1">
      <protection locked="0" hidden="1"/>
    </xf>
    <xf numFmtId="2" fontId="0" fillId="0" borderId="6" xfId="0" applyNumberFormat="1" applyBorder="1" applyProtection="1">
      <protection locked="0" hidden="1"/>
    </xf>
    <xf numFmtId="2" fontId="0" fillId="0" borderId="18" xfId="0" applyNumberFormat="1" applyBorder="1" applyAlignment="1" applyProtection="1">
      <alignment horizontal="center"/>
      <protection locked="0" hidden="1"/>
    </xf>
    <xf numFmtId="2" fontId="8" fillId="8" borderId="19" xfId="0" applyNumberFormat="1" applyFont="1" applyFill="1" applyBorder="1" applyAlignment="1" applyProtection="1">
      <alignment horizontal="center"/>
      <protection locked="0" hidden="1"/>
    </xf>
    <xf numFmtId="2" fontId="0" fillId="0" borderId="19" xfId="0" applyNumberFormat="1" applyBorder="1" applyAlignment="1" applyProtection="1">
      <alignment horizontal="center"/>
      <protection locked="0" hidden="1"/>
    </xf>
    <xf numFmtId="2" fontId="0" fillId="0" borderId="47" xfId="0" applyNumberFormat="1" applyBorder="1" applyProtection="1">
      <protection locked="0" hidden="1"/>
    </xf>
    <xf numFmtId="2" fontId="0" fillId="0" borderId="13" xfId="0" applyNumberFormat="1" applyBorder="1" applyAlignment="1" applyProtection="1">
      <alignment horizontal="center"/>
      <protection locked="0" hidden="1"/>
    </xf>
    <xf numFmtId="2" fontId="0" fillId="0" borderId="50" xfId="0" applyNumberFormat="1" applyBorder="1" applyAlignment="1" applyProtection="1">
      <alignment horizontal="center"/>
      <protection locked="0" hidden="1"/>
    </xf>
    <xf numFmtId="2" fontId="0" fillId="0" borderId="12" xfId="0" applyNumberFormat="1" applyBorder="1" applyAlignment="1" applyProtection="1">
      <alignment horizontal="center"/>
      <protection locked="0" hidden="1"/>
    </xf>
    <xf numFmtId="2" fontId="8" fillId="7" borderId="1" xfId="0" applyNumberFormat="1" applyFont="1" applyFill="1" applyBorder="1" applyAlignment="1" applyProtection="1">
      <alignment horizontal="center"/>
      <protection locked="0" hidden="1"/>
    </xf>
    <xf numFmtId="2" fontId="8" fillId="7" borderId="2" xfId="0" applyNumberFormat="1" applyFont="1" applyFill="1" applyBorder="1" applyProtection="1">
      <protection locked="0" hidden="1"/>
    </xf>
    <xf numFmtId="165" fontId="8" fillId="7" borderId="3" xfId="0" applyNumberFormat="1" applyFont="1" applyFill="1" applyBorder="1" applyProtection="1">
      <protection locked="0" hidden="1"/>
    </xf>
    <xf numFmtId="2" fontId="17" fillId="0" borderId="0" xfId="0" applyNumberFormat="1" applyFont="1" applyProtection="1">
      <protection locked="0" hidden="1"/>
    </xf>
    <xf numFmtId="2" fontId="8" fillId="0" borderId="0" xfId="0" applyNumberFormat="1" applyFont="1" applyProtection="1">
      <protection locked="0" hidden="1"/>
    </xf>
    <xf numFmtId="2" fontId="8" fillId="0" borderId="0" xfId="0" applyNumberFormat="1" applyFont="1" applyAlignment="1" applyProtection="1">
      <alignment horizontal="center"/>
      <protection locked="0" hidden="1"/>
    </xf>
    <xf numFmtId="165" fontId="8" fillId="7" borderId="2" xfId="0" applyNumberFormat="1" applyFont="1" applyFill="1" applyBorder="1" applyProtection="1">
      <protection locked="0" hidden="1"/>
    </xf>
    <xf numFmtId="0" fontId="5" fillId="0" borderId="0" xfId="0" applyFont="1" applyProtection="1">
      <protection locked="0" hidden="1"/>
    </xf>
    <xf numFmtId="2" fontId="5" fillId="0" borderId="0" xfId="0" applyNumberFormat="1" applyFont="1" applyProtection="1">
      <protection locked="0" hidden="1"/>
    </xf>
    <xf numFmtId="0" fontId="8" fillId="6" borderId="14" xfId="0" applyFont="1" applyFill="1" applyBorder="1" applyAlignment="1" applyProtection="1">
      <alignment horizontal="center"/>
      <protection locked="0" hidden="1"/>
    </xf>
    <xf numFmtId="0" fontId="0" fillId="0" borderId="0" xfId="0" applyAlignment="1" applyProtection="1">
      <alignment horizontal="left"/>
      <protection locked="0" hidden="1"/>
    </xf>
    <xf numFmtId="11" fontId="0" fillId="0" borderId="0" xfId="0" applyNumberFormat="1" applyProtection="1">
      <protection hidden="1"/>
    </xf>
    <xf numFmtId="0" fontId="8" fillId="0" borderId="10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165" fontId="0" fillId="0" borderId="0" xfId="0" applyNumberFormat="1" applyProtection="1">
      <protection locked="0" hidden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2" fontId="0" fillId="0" borderId="25" xfId="0" applyNumberFormat="1" applyBorder="1" applyAlignment="1">
      <alignment horizontal="center"/>
    </xf>
    <xf numFmtId="0" fontId="8" fillId="0" borderId="56" xfId="0" applyFont="1" applyBorder="1" applyAlignment="1">
      <alignment horizontal="center"/>
    </xf>
    <xf numFmtId="0" fontId="0" fillId="7" borderId="56" xfId="0" applyFill="1" applyBorder="1" applyAlignment="1">
      <alignment horizontal="center"/>
    </xf>
    <xf numFmtId="2" fontId="0" fillId="0" borderId="7" xfId="0" applyNumberFormat="1" applyBorder="1" applyProtection="1">
      <protection locked="0" hidden="1"/>
    </xf>
    <xf numFmtId="2" fontId="5" fillId="0" borderId="8" xfId="0" applyNumberFormat="1" applyFont="1" applyBorder="1" applyProtection="1">
      <protection locked="0" hidden="1"/>
    </xf>
    <xf numFmtId="2" fontId="0" fillId="0" borderId="8" xfId="0" applyNumberFormat="1" applyBorder="1" applyProtection="1">
      <protection locked="0" hidden="1"/>
    </xf>
    <xf numFmtId="164" fontId="5" fillId="0" borderId="8" xfId="0" applyNumberFormat="1" applyFont="1" applyBorder="1" applyProtection="1">
      <protection locked="0" hidden="1"/>
    </xf>
    <xf numFmtId="2" fontId="5" fillId="0" borderId="9" xfId="0" applyNumberFormat="1" applyFont="1" applyBorder="1" applyProtection="1">
      <protection locked="0" hidden="1"/>
    </xf>
    <xf numFmtId="0" fontId="0" fillId="0" borderId="6" xfId="0" applyBorder="1" applyProtection="1">
      <protection locked="0" hidden="1"/>
    </xf>
    <xf numFmtId="2" fontId="0" fillId="0" borderId="13" xfId="0" applyNumberFormat="1" applyBorder="1" applyProtection="1">
      <protection locked="0" hidden="1"/>
    </xf>
    <xf numFmtId="2" fontId="0" fillId="0" borderId="14" xfId="0" applyNumberFormat="1" applyBorder="1" applyProtection="1">
      <protection locked="0" hidden="1"/>
    </xf>
    <xf numFmtId="2" fontId="5" fillId="0" borderId="14" xfId="0" applyNumberFormat="1" applyFont="1" applyBorder="1" applyProtection="1">
      <protection locked="0" hidden="1"/>
    </xf>
    <xf numFmtId="1" fontId="0" fillId="0" borderId="0" xfId="0" applyNumberFormat="1" applyProtection="1">
      <protection locked="0" hidden="1"/>
    </xf>
    <xf numFmtId="1" fontId="5" fillId="0" borderId="0" xfId="0" applyNumberFormat="1" applyFont="1" applyProtection="1">
      <protection locked="0" hidden="1"/>
    </xf>
    <xf numFmtId="1" fontId="5" fillId="0" borderId="43" xfId="0" applyNumberFormat="1" applyFont="1" applyBorder="1" applyProtection="1">
      <protection locked="0" hidden="1"/>
    </xf>
    <xf numFmtId="165" fontId="0" fillId="0" borderId="14" xfId="0" applyNumberFormat="1" applyBorder="1" applyProtection="1">
      <protection locked="0" hidden="1"/>
    </xf>
    <xf numFmtId="2" fontId="0" fillId="0" borderId="15" xfId="0" applyNumberFormat="1" applyBorder="1" applyProtection="1">
      <protection locked="0" hidden="1"/>
    </xf>
    <xf numFmtId="165" fontId="5" fillId="0" borderId="14" xfId="0" applyNumberFormat="1" applyFont="1" applyBorder="1" applyProtection="1">
      <protection locked="0" hidden="1"/>
    </xf>
    <xf numFmtId="2" fontId="5" fillId="0" borderId="15" xfId="0" applyNumberFormat="1" applyFont="1" applyBorder="1" applyProtection="1">
      <protection locked="0" hidden="1"/>
    </xf>
    <xf numFmtId="2" fontId="0" fillId="0" borderId="32" xfId="0" applyNumberFormat="1" applyBorder="1" applyProtection="1">
      <protection locked="0" hidden="1"/>
    </xf>
    <xf numFmtId="2" fontId="5" fillId="0" borderId="50" xfId="0" applyNumberFormat="1" applyFont="1" applyBorder="1" applyProtection="1">
      <protection locked="0" hidden="1"/>
    </xf>
    <xf numFmtId="2" fontId="0" fillId="0" borderId="50" xfId="0" applyNumberFormat="1" applyBorder="1" applyProtection="1">
      <protection locked="0" hidden="1"/>
    </xf>
    <xf numFmtId="165" fontId="5" fillId="0" borderId="50" xfId="0" applyNumberFormat="1" applyFont="1" applyBorder="1" applyProtection="1">
      <protection locked="0" hidden="1"/>
    </xf>
    <xf numFmtId="2" fontId="5" fillId="0" borderId="51" xfId="0" applyNumberFormat="1" applyFont="1" applyBorder="1" applyProtection="1">
      <protection locked="0" hidden="1"/>
    </xf>
    <xf numFmtId="0" fontId="0" fillId="0" borderId="46" xfId="0" applyBorder="1" applyProtection="1">
      <protection locked="0" hidden="1"/>
    </xf>
    <xf numFmtId="0" fontId="0" fillId="0" borderId="47" xfId="0" applyBorder="1" applyProtection="1">
      <protection locked="0" hidden="1"/>
    </xf>
    <xf numFmtId="1" fontId="0" fillId="0" borderId="47" xfId="0" applyNumberFormat="1" applyBorder="1" applyProtection="1">
      <protection locked="0" hidden="1"/>
    </xf>
    <xf numFmtId="0" fontId="0" fillId="0" borderId="48" xfId="0" applyBorder="1" applyProtection="1">
      <protection locked="0" hidden="1"/>
    </xf>
    <xf numFmtId="164" fontId="0" fillId="0" borderId="0" xfId="0" applyNumberFormat="1" applyProtection="1">
      <protection locked="0" hidden="1"/>
    </xf>
    <xf numFmtId="2" fontId="6" fillId="0" borderId="16" xfId="0" applyNumberFormat="1" applyFont="1" applyBorder="1" applyProtection="1">
      <protection locked="0" hidden="1"/>
    </xf>
    <xf numFmtId="165" fontId="0" fillId="0" borderId="43" xfId="0" applyNumberFormat="1" applyBorder="1" applyProtection="1">
      <protection locked="0" hidden="1"/>
    </xf>
    <xf numFmtId="166" fontId="0" fillId="0" borderId="48" xfId="0" applyNumberFormat="1" applyBorder="1" applyProtection="1">
      <protection locked="0" hidden="1"/>
    </xf>
    <xf numFmtId="2" fontId="17" fillId="0" borderId="43" xfId="0" applyNumberFormat="1" applyFont="1" applyBorder="1" applyProtection="1">
      <protection locked="0" hidden="1"/>
    </xf>
    <xf numFmtId="11" fontId="0" fillId="0" borderId="0" xfId="0" applyNumberFormat="1" applyProtection="1">
      <protection locked="0" hidden="1"/>
    </xf>
    <xf numFmtId="2" fontId="5" fillId="0" borderId="43" xfId="0" applyNumberFormat="1" applyFont="1" applyBorder="1" applyProtection="1">
      <protection locked="0" hidden="1"/>
    </xf>
    <xf numFmtId="11" fontId="0" fillId="0" borderId="48" xfId="0" applyNumberFormat="1" applyBorder="1" applyProtection="1">
      <protection locked="0" hidden="1"/>
    </xf>
    <xf numFmtId="2" fontId="0" fillId="0" borderId="14" xfId="0" applyNumberFormat="1" applyBorder="1" applyAlignment="1" applyProtection="1">
      <alignment horizontal="left"/>
      <protection locked="0" hidden="1"/>
    </xf>
    <xf numFmtId="1" fontId="0" fillId="0" borderId="14" xfId="0" applyNumberFormat="1" applyBorder="1" applyAlignment="1" applyProtection="1">
      <alignment horizontal="center"/>
      <protection locked="0" hidden="1"/>
    </xf>
    <xf numFmtId="0" fontId="0" fillId="0" borderId="14" xfId="0" applyBorder="1" applyProtection="1">
      <protection locked="0" hidden="1"/>
    </xf>
    <xf numFmtId="0" fontId="0" fillId="0" borderId="1" xfId="0" applyBorder="1" applyProtection="1">
      <protection locked="0" hidden="1"/>
    </xf>
    <xf numFmtId="0" fontId="0" fillId="0" borderId="2" xfId="0" applyBorder="1" applyProtection="1">
      <protection locked="0" hidden="1"/>
    </xf>
    <xf numFmtId="0" fontId="0" fillId="0" borderId="3" xfId="0" applyBorder="1" applyProtection="1">
      <protection locked="0" hidden="1"/>
    </xf>
    <xf numFmtId="1" fontId="0" fillId="0" borderId="14" xfId="0" applyNumberFormat="1" applyBorder="1" applyProtection="1">
      <protection locked="0" hidden="1"/>
    </xf>
    <xf numFmtId="1" fontId="0" fillId="0" borderId="22" xfId="0" applyNumberFormat="1" applyBorder="1" applyProtection="1">
      <protection locked="0" hidden="1"/>
    </xf>
    <xf numFmtId="0" fontId="5" fillId="0" borderId="43" xfId="0" applyFont="1" applyBorder="1" applyProtection="1">
      <protection locked="0" hidden="1"/>
    </xf>
    <xf numFmtId="0" fontId="0" fillId="2" borderId="45" xfId="0" applyFill="1" applyBorder="1" applyProtection="1">
      <protection locked="0" hidden="1"/>
    </xf>
    <xf numFmtId="11" fontId="0" fillId="0" borderId="41" xfId="0" applyNumberFormat="1" applyBorder="1" applyProtection="1">
      <protection locked="0" hidden="1"/>
    </xf>
    <xf numFmtId="11" fontId="5" fillId="0" borderId="0" xfId="0" applyNumberFormat="1" applyFont="1" applyProtection="1">
      <protection locked="0" hidden="1"/>
    </xf>
    <xf numFmtId="2" fontId="5" fillId="0" borderId="0" xfId="0" applyNumberFormat="1" applyFont="1" applyAlignment="1" applyProtection="1">
      <alignment horizontal="center"/>
      <protection locked="0" hidden="1"/>
    </xf>
    <xf numFmtId="11" fontId="0" fillId="0" borderId="46" xfId="0" applyNumberFormat="1" applyBorder="1" applyProtection="1">
      <protection locked="0" hidden="1"/>
    </xf>
    <xf numFmtId="11" fontId="5" fillId="0" borderId="47" xfId="0" applyNumberFormat="1" applyFont="1" applyBorder="1" applyProtection="1">
      <protection locked="0" hidden="1"/>
    </xf>
    <xf numFmtId="2" fontId="0" fillId="0" borderId="49" xfId="0" applyNumberFormat="1" applyBorder="1" applyProtection="1">
      <protection locked="0" hidden="1"/>
    </xf>
    <xf numFmtId="0" fontId="0" fillId="4" borderId="41" xfId="0" applyFill="1" applyBorder="1" applyProtection="1">
      <protection locked="0" hidden="1"/>
    </xf>
    <xf numFmtId="0" fontId="0" fillId="4" borderId="46" xfId="0" applyFill="1" applyBorder="1" applyProtection="1">
      <protection locked="0" hidden="1"/>
    </xf>
    <xf numFmtId="0" fontId="0" fillId="4" borderId="0" xfId="0" applyFill="1" applyProtection="1">
      <protection locked="0" hidden="1"/>
    </xf>
    <xf numFmtId="2" fontId="0" fillId="4" borderId="41" xfId="0" applyNumberFormat="1" applyFill="1" applyBorder="1" applyProtection="1">
      <protection locked="0" hidden="1"/>
    </xf>
    <xf numFmtId="2" fontId="21" fillId="0" borderId="0" xfId="0" applyNumberFormat="1" applyFont="1" applyProtection="1">
      <protection locked="0" hidden="1"/>
    </xf>
    <xf numFmtId="0" fontId="13" fillId="3" borderId="1" xfId="0" applyFont="1" applyFill="1" applyBorder="1" applyProtection="1">
      <protection locked="0" hidden="1"/>
    </xf>
    <xf numFmtId="0" fontId="13" fillId="3" borderId="2" xfId="0" applyFont="1" applyFill="1" applyBorder="1" applyProtection="1">
      <protection locked="0" hidden="1"/>
    </xf>
    <xf numFmtId="2" fontId="13" fillId="3" borderId="2" xfId="0" applyNumberFormat="1" applyFont="1" applyFill="1" applyBorder="1" applyProtection="1">
      <protection locked="0" hidden="1"/>
    </xf>
    <xf numFmtId="0" fontId="13" fillId="3" borderId="46" xfId="0" applyFont="1" applyFill="1" applyBorder="1" applyProtection="1">
      <protection locked="0" hidden="1"/>
    </xf>
    <xf numFmtId="0" fontId="13" fillId="3" borderId="47" xfId="0" applyFont="1" applyFill="1" applyBorder="1" applyProtection="1">
      <protection locked="0" hidden="1"/>
    </xf>
    <xf numFmtId="2" fontId="13" fillId="0" borderId="0" xfId="0" applyNumberFormat="1" applyFont="1" applyProtection="1">
      <protection locked="0" hidden="1"/>
    </xf>
    <xf numFmtId="2" fontId="0" fillId="4" borderId="0" xfId="0" applyNumberFormat="1" applyFill="1" applyProtection="1">
      <protection locked="0" hidden="1"/>
    </xf>
    <xf numFmtId="0" fontId="0" fillId="4" borderId="43" xfId="0" applyFill="1" applyBorder="1" applyProtection="1">
      <protection locked="0" hidden="1"/>
    </xf>
    <xf numFmtId="2" fontId="25" fillId="0" borderId="0" xfId="0" applyNumberFormat="1" applyFont="1" applyProtection="1">
      <protection locked="0" hidden="1"/>
    </xf>
    <xf numFmtId="0" fontId="25" fillId="0" borderId="43" xfId="0" applyFont="1" applyBorder="1" applyProtection="1">
      <protection locked="0" hidden="1"/>
    </xf>
    <xf numFmtId="2" fontId="0" fillId="4" borderId="16" xfId="0" applyNumberFormat="1" applyFill="1" applyBorder="1" applyProtection="1">
      <protection locked="0" hidden="1"/>
    </xf>
    <xf numFmtId="2" fontId="0" fillId="4" borderId="17" xfId="0" applyNumberFormat="1" applyFill="1" applyBorder="1" applyProtection="1">
      <protection locked="0" hidden="1"/>
    </xf>
    <xf numFmtId="2" fontId="5" fillId="4" borderId="17" xfId="0" applyNumberFormat="1" applyFont="1" applyFill="1" applyBorder="1" applyProtection="1">
      <protection locked="0" hidden="1"/>
    </xf>
    <xf numFmtId="0" fontId="25" fillId="0" borderId="0" xfId="0" applyFont="1" applyProtection="1">
      <protection locked="0" hidden="1"/>
    </xf>
    <xf numFmtId="2" fontId="25" fillId="0" borderId="43" xfId="0" applyNumberFormat="1" applyFont="1" applyBorder="1" applyProtection="1">
      <protection locked="0" hidden="1"/>
    </xf>
    <xf numFmtId="11" fontId="25" fillId="0" borderId="0" xfId="0" applyNumberFormat="1" applyFont="1" applyProtection="1">
      <protection locked="0" hidden="1"/>
    </xf>
    <xf numFmtId="0" fontId="0" fillId="4" borderId="47" xfId="0" applyFill="1" applyBorder="1" applyProtection="1">
      <protection locked="0" hidden="1"/>
    </xf>
    <xf numFmtId="2" fontId="25" fillId="0" borderId="47" xfId="0" applyNumberFormat="1" applyFont="1" applyBorder="1" applyProtection="1">
      <protection locked="0" hidden="1"/>
    </xf>
    <xf numFmtId="2" fontId="21" fillId="3" borderId="0" xfId="0" applyNumberFormat="1" applyFont="1" applyFill="1" applyProtection="1">
      <protection locked="0" hidden="1"/>
    </xf>
    <xf numFmtId="2" fontId="0" fillId="0" borderId="16" xfId="0" applyNumberFormat="1" applyBorder="1" applyProtection="1">
      <protection hidden="1"/>
    </xf>
    <xf numFmtId="2" fontId="0" fillId="0" borderId="17" xfId="0" applyNumberFormat="1" applyBorder="1" applyProtection="1">
      <protection hidden="1"/>
    </xf>
    <xf numFmtId="2" fontId="1" fillId="0" borderId="0" xfId="0" applyNumberFormat="1" applyFont="1" applyProtection="1">
      <protection hidden="1"/>
    </xf>
    <xf numFmtId="2" fontId="8" fillId="0" borderId="0" xfId="0" applyNumberFormat="1" applyFont="1" applyAlignment="1" applyProtection="1">
      <alignment horizontal="center"/>
      <protection hidden="1"/>
    </xf>
    <xf numFmtId="2" fontId="8" fillId="7" borderId="47" xfId="0" applyNumberFormat="1" applyFont="1" applyFill="1" applyBorder="1" applyAlignment="1" applyProtection="1">
      <alignment horizontal="center"/>
      <protection hidden="1"/>
    </xf>
    <xf numFmtId="165" fontId="8" fillId="7" borderId="47" xfId="0" applyNumberFormat="1" applyFont="1" applyFill="1" applyBorder="1" applyProtection="1">
      <protection hidden="1"/>
    </xf>
    <xf numFmtId="165" fontId="8" fillId="7" borderId="48" xfId="0" applyNumberFormat="1" applyFont="1" applyFill="1" applyBorder="1" applyProtection="1">
      <protection hidden="1"/>
    </xf>
    <xf numFmtId="165" fontId="8" fillId="0" borderId="0" xfId="0" applyNumberFormat="1" applyFont="1" applyProtection="1">
      <protection hidden="1"/>
    </xf>
    <xf numFmtId="2" fontId="0" fillId="0" borderId="7" xfId="0" applyNumberFormat="1" applyBorder="1" applyProtection="1">
      <protection hidden="1"/>
    </xf>
    <xf numFmtId="2" fontId="5" fillId="0" borderId="8" xfId="0" applyNumberFormat="1" applyFont="1" applyBorder="1" applyProtection="1">
      <protection hidden="1"/>
    </xf>
    <xf numFmtId="2" fontId="0" fillId="0" borderId="8" xfId="0" applyNumberFormat="1" applyBorder="1" applyProtection="1">
      <protection hidden="1"/>
    </xf>
    <xf numFmtId="165" fontId="5" fillId="0" borderId="8" xfId="0" applyNumberFormat="1" applyFont="1" applyBorder="1" applyProtection="1">
      <protection hidden="1"/>
    </xf>
    <xf numFmtId="2" fontId="5" fillId="0" borderId="9" xfId="0" applyNumberFormat="1" applyFont="1" applyBorder="1" applyProtection="1">
      <protection hidden="1"/>
    </xf>
    <xf numFmtId="2" fontId="0" fillId="0" borderId="13" xfId="0" applyNumberFormat="1" applyBorder="1" applyProtection="1">
      <protection hidden="1"/>
    </xf>
    <xf numFmtId="2" fontId="0" fillId="0" borderId="14" xfId="0" applyNumberFormat="1" applyBorder="1" applyProtection="1">
      <protection hidden="1"/>
    </xf>
    <xf numFmtId="165" fontId="0" fillId="0" borderId="14" xfId="0" applyNumberFormat="1" applyBorder="1" applyProtection="1">
      <protection hidden="1"/>
    </xf>
    <xf numFmtId="2" fontId="0" fillId="0" borderId="15" xfId="0" applyNumberFormat="1" applyBorder="1" applyProtection="1">
      <protection hidden="1"/>
    </xf>
    <xf numFmtId="2" fontId="5" fillId="0" borderId="14" xfId="0" applyNumberFormat="1" applyFont="1" applyBorder="1" applyProtection="1">
      <protection hidden="1"/>
    </xf>
    <xf numFmtId="165" fontId="5" fillId="0" borderId="14" xfId="0" applyNumberFormat="1" applyFont="1" applyBorder="1" applyProtection="1">
      <protection hidden="1"/>
    </xf>
    <xf numFmtId="2" fontId="5" fillId="0" borderId="15" xfId="0" applyNumberFormat="1" applyFont="1" applyBorder="1" applyProtection="1">
      <protection hidden="1"/>
    </xf>
    <xf numFmtId="2" fontId="0" fillId="0" borderId="32" xfId="0" applyNumberFormat="1" applyBorder="1" applyProtection="1">
      <protection hidden="1"/>
    </xf>
    <xf numFmtId="2" fontId="5" fillId="0" borderId="50" xfId="0" applyNumberFormat="1" applyFont="1" applyBorder="1" applyProtection="1">
      <protection hidden="1"/>
    </xf>
    <xf numFmtId="2" fontId="0" fillId="0" borderId="50" xfId="0" applyNumberFormat="1" applyBorder="1" applyProtection="1">
      <protection hidden="1"/>
    </xf>
    <xf numFmtId="2" fontId="5" fillId="0" borderId="51" xfId="0" applyNumberFormat="1" applyFont="1" applyBorder="1" applyProtection="1">
      <protection hidden="1"/>
    </xf>
    <xf numFmtId="164" fontId="0" fillId="0" borderId="0" xfId="0" applyNumberFormat="1" applyProtection="1">
      <protection hidden="1"/>
    </xf>
    <xf numFmtId="2" fontId="6" fillId="0" borderId="16" xfId="0" applyNumberFormat="1" applyFont="1" applyBorder="1" applyProtection="1">
      <protection hidden="1"/>
    </xf>
    <xf numFmtId="2" fontId="0" fillId="0" borderId="6" xfId="0" applyNumberFormat="1" applyBorder="1" applyProtection="1">
      <protection hidden="1"/>
    </xf>
    <xf numFmtId="2" fontId="0" fillId="0" borderId="41" xfId="0" applyNumberFormat="1" applyBorder="1" applyProtection="1">
      <protection hidden="1"/>
    </xf>
    <xf numFmtId="2" fontId="0" fillId="0" borderId="43" xfId="0" applyNumberFormat="1" applyBorder="1" applyProtection="1">
      <protection hidden="1"/>
    </xf>
    <xf numFmtId="165" fontId="0" fillId="0" borderId="43" xfId="0" applyNumberFormat="1" applyBorder="1" applyProtection="1">
      <protection hidden="1"/>
    </xf>
    <xf numFmtId="2" fontId="0" fillId="0" borderId="47" xfId="0" applyNumberFormat="1" applyBorder="1" applyProtection="1">
      <protection hidden="1"/>
    </xf>
    <xf numFmtId="166" fontId="0" fillId="0" borderId="48" xfId="0" applyNumberFormat="1" applyBorder="1" applyProtection="1">
      <protection hidden="1"/>
    </xf>
    <xf numFmtId="2" fontId="0" fillId="0" borderId="48" xfId="0" applyNumberFormat="1" applyBorder="1" applyProtection="1">
      <protection hidden="1"/>
    </xf>
    <xf numFmtId="0" fontId="0" fillId="0" borderId="41" xfId="0" applyBorder="1" applyProtection="1">
      <protection hidden="1"/>
    </xf>
    <xf numFmtId="2" fontId="0" fillId="0" borderId="14" xfId="0" applyNumberFormat="1" applyBorder="1" applyAlignment="1" applyProtection="1">
      <alignment horizontal="left"/>
      <protection hidden="1"/>
    </xf>
    <xf numFmtId="1" fontId="0" fillId="0" borderId="14" xfId="0" applyNumberFormat="1" applyBorder="1" applyAlignment="1" applyProtection="1">
      <alignment horizontal="center"/>
      <protection hidden="1"/>
    </xf>
    <xf numFmtId="0" fontId="0" fillId="0" borderId="14" xfId="0" applyBorder="1" applyProtection="1">
      <protection hidden="1"/>
    </xf>
    <xf numFmtId="1" fontId="5" fillId="0" borderId="0" xfId="0" applyNumberFormat="1" applyFont="1" applyProtection="1">
      <protection hidden="1"/>
    </xf>
    <xf numFmtId="2" fontId="5" fillId="0" borderId="0" xfId="0" applyNumberFormat="1" applyFont="1" applyAlignment="1" applyProtection="1">
      <alignment horizontal="center"/>
      <protection hidden="1"/>
    </xf>
    <xf numFmtId="1" fontId="0" fillId="0" borderId="14" xfId="0" applyNumberFormat="1" applyBorder="1" applyProtection="1">
      <protection hidden="1"/>
    </xf>
    <xf numFmtId="1" fontId="0" fillId="0" borderId="22" xfId="0" applyNumberFormat="1" applyBorder="1" applyProtection="1">
      <protection hidden="1"/>
    </xf>
    <xf numFmtId="0" fontId="0" fillId="0" borderId="6" xfId="0" applyBorder="1" applyProtection="1">
      <protection hidden="1"/>
    </xf>
    <xf numFmtId="2" fontId="17" fillId="0" borderId="43" xfId="0" applyNumberFormat="1" applyFont="1" applyBorder="1" applyProtection="1">
      <protection hidden="1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3" xfId="0" applyBorder="1" applyProtection="1">
      <protection hidden="1"/>
    </xf>
    <xf numFmtId="2" fontId="5" fillId="0" borderId="43" xfId="0" applyNumberFormat="1" applyFont="1" applyBorder="1" applyProtection="1">
      <protection hidden="1"/>
    </xf>
    <xf numFmtId="0" fontId="0" fillId="0" borderId="46" xfId="0" applyBorder="1" applyProtection="1">
      <protection hidden="1"/>
    </xf>
    <xf numFmtId="0" fontId="0" fillId="0" borderId="47" xfId="0" applyBorder="1" applyProtection="1">
      <protection hidden="1"/>
    </xf>
    <xf numFmtId="11" fontId="0" fillId="0" borderId="48" xfId="0" applyNumberFormat="1" applyBorder="1" applyProtection="1">
      <protection hidden="1"/>
    </xf>
    <xf numFmtId="0" fontId="5" fillId="0" borderId="43" xfId="0" applyFont="1" applyBorder="1" applyProtection="1">
      <protection hidden="1"/>
    </xf>
    <xf numFmtId="1" fontId="5" fillId="0" borderId="43" xfId="0" applyNumberFormat="1" applyFont="1" applyBorder="1" applyProtection="1">
      <protection hidden="1"/>
    </xf>
    <xf numFmtId="11" fontId="0" fillId="0" borderId="41" xfId="0" applyNumberFormat="1" applyBorder="1" applyProtection="1">
      <protection hidden="1"/>
    </xf>
    <xf numFmtId="11" fontId="5" fillId="0" borderId="0" xfId="0" applyNumberFormat="1" applyFont="1" applyProtection="1">
      <protection hidden="1"/>
    </xf>
    <xf numFmtId="11" fontId="0" fillId="0" borderId="46" xfId="0" applyNumberFormat="1" applyBorder="1" applyProtection="1">
      <protection hidden="1"/>
    </xf>
    <xf numFmtId="11" fontId="5" fillId="0" borderId="47" xfId="0" applyNumberFormat="1" applyFont="1" applyBorder="1" applyProtection="1">
      <protection hidden="1"/>
    </xf>
    <xf numFmtId="2" fontId="5" fillId="0" borderId="0" xfId="0" applyNumberFormat="1" applyFont="1" applyAlignment="1" applyProtection="1">
      <alignment horizontal="right"/>
      <protection hidden="1"/>
    </xf>
    <xf numFmtId="2" fontId="5" fillId="0" borderId="47" xfId="0" applyNumberFormat="1" applyFont="1" applyBorder="1" applyProtection="1">
      <protection hidden="1"/>
    </xf>
    <xf numFmtId="0" fontId="33" fillId="0" borderId="0" xfId="0" applyFont="1" applyProtection="1">
      <protection hidden="1"/>
    </xf>
    <xf numFmtId="0" fontId="1" fillId="4" borderId="30" xfId="0" applyFont="1" applyFill="1" applyBorder="1" applyAlignment="1" applyProtection="1">
      <alignment horizontal="center"/>
      <protection hidden="1"/>
    </xf>
    <xf numFmtId="2" fontId="1" fillId="4" borderId="30" xfId="0" applyNumberFormat="1" applyFont="1" applyFill="1" applyBorder="1" applyAlignment="1" applyProtection="1">
      <alignment horizontal="center"/>
      <protection hidden="1"/>
    </xf>
    <xf numFmtId="0" fontId="1" fillId="4" borderId="37" xfId="0" applyFont="1" applyFill="1" applyBorder="1" applyAlignment="1" applyProtection="1">
      <alignment horizontal="center"/>
      <protection hidden="1"/>
    </xf>
    <xf numFmtId="2" fontId="13" fillId="3" borderId="16" xfId="0" applyNumberFormat="1" applyFont="1" applyFill="1" applyBorder="1" applyProtection="1">
      <protection hidden="1"/>
    </xf>
    <xf numFmtId="2" fontId="13" fillId="3" borderId="17" xfId="0" applyNumberFormat="1" applyFont="1" applyFill="1" applyBorder="1" applyProtection="1">
      <protection hidden="1"/>
    </xf>
    <xf numFmtId="11" fontId="13" fillId="3" borderId="6" xfId="0" applyNumberFormat="1" applyFont="1" applyFill="1" applyBorder="1" applyProtection="1">
      <protection hidden="1"/>
    </xf>
    <xf numFmtId="11" fontId="0" fillId="4" borderId="0" xfId="0" applyNumberFormat="1" applyFill="1" applyProtection="1">
      <protection hidden="1"/>
    </xf>
    <xf numFmtId="11" fontId="0" fillId="4" borderId="47" xfId="0" applyNumberFormat="1" applyFill="1" applyBorder="1" applyProtection="1">
      <protection hidden="1"/>
    </xf>
    <xf numFmtId="0" fontId="3" fillId="0" borderId="0" xfId="0" applyFont="1" applyProtection="1">
      <protection hidden="1"/>
    </xf>
    <xf numFmtId="11" fontId="0" fillId="0" borderId="2" xfId="0" applyNumberFormat="1" applyBorder="1" applyProtection="1">
      <protection hidden="1"/>
    </xf>
    <xf numFmtId="0" fontId="0" fillId="4" borderId="1" xfId="0" applyFill="1" applyBorder="1" applyProtection="1">
      <protection hidden="1"/>
    </xf>
    <xf numFmtId="0" fontId="0" fillId="4" borderId="48" xfId="0" applyFill="1" applyBorder="1" applyProtection="1">
      <protection hidden="1"/>
    </xf>
    <xf numFmtId="11" fontId="13" fillId="3" borderId="2" xfId="0" applyNumberFormat="1" applyFont="1" applyFill="1" applyBorder="1" applyProtection="1">
      <protection hidden="1"/>
    </xf>
    <xf numFmtId="0" fontId="1" fillId="4" borderId="42" xfId="0" applyFont="1" applyFill="1" applyBorder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1" fontId="0" fillId="0" borderId="56" xfId="0" applyNumberFormat="1" applyBorder="1" applyProtection="1">
      <protection hidden="1"/>
    </xf>
    <xf numFmtId="0" fontId="32" fillId="5" borderId="0" xfId="0" applyFont="1" applyFill="1" applyProtection="1">
      <protection hidden="1"/>
    </xf>
    <xf numFmtId="2" fontId="7" fillId="3" borderId="10" xfId="0" applyNumberFormat="1" applyFont="1" applyFill="1" applyBorder="1" applyAlignment="1" applyProtection="1">
      <alignment horizontal="left"/>
      <protection hidden="1"/>
    </xf>
    <xf numFmtId="2" fontId="7" fillId="3" borderId="11" xfId="0" applyNumberFormat="1" applyFont="1" applyFill="1" applyBorder="1" applyAlignment="1" applyProtection="1">
      <alignment horizontal="left"/>
      <protection hidden="1"/>
    </xf>
    <xf numFmtId="1" fontId="7" fillId="3" borderId="3" xfId="0" applyNumberFormat="1" applyFont="1" applyFill="1" applyBorder="1" applyAlignment="1" applyProtection="1">
      <alignment horizontal="center"/>
      <protection hidden="1"/>
    </xf>
    <xf numFmtId="2" fontId="7" fillId="3" borderId="17" xfId="0" applyNumberFormat="1" applyFont="1" applyFill="1" applyBorder="1" applyProtection="1">
      <protection hidden="1"/>
    </xf>
    <xf numFmtId="0" fontId="16" fillId="3" borderId="16" xfId="0" applyFont="1" applyFill="1" applyBorder="1" applyAlignment="1" applyProtection="1">
      <alignment horizontal="left"/>
      <protection hidden="1"/>
    </xf>
    <xf numFmtId="0" fontId="16" fillId="3" borderId="17" xfId="0" applyFont="1" applyFill="1" applyBorder="1" applyProtection="1">
      <protection hidden="1"/>
    </xf>
    <xf numFmtId="0" fontId="16" fillId="3" borderId="6" xfId="0" applyFont="1" applyFill="1" applyBorder="1" applyProtection="1">
      <protection hidden="1"/>
    </xf>
    <xf numFmtId="1" fontId="10" fillId="5" borderId="19" xfId="0" applyNumberFormat="1" applyFont="1" applyFill="1" applyBorder="1" applyAlignment="1" applyProtection="1">
      <alignment horizontal="center"/>
      <protection hidden="1"/>
    </xf>
    <xf numFmtId="0" fontId="9" fillId="4" borderId="20" xfId="0" applyFont="1" applyFill="1" applyBorder="1" applyProtection="1">
      <protection hidden="1"/>
    </xf>
    <xf numFmtId="1" fontId="32" fillId="4" borderId="7" xfId="0" applyNumberFormat="1" applyFont="1" applyFill="1" applyBorder="1" applyAlignment="1" applyProtection="1">
      <alignment horizontal="left"/>
      <protection hidden="1"/>
    </xf>
    <xf numFmtId="2" fontId="32" fillId="5" borderId="26" xfId="0" applyNumberFormat="1" applyFont="1" applyFill="1" applyBorder="1" applyAlignment="1" applyProtection="1">
      <alignment horizontal="center"/>
      <protection hidden="1"/>
    </xf>
    <xf numFmtId="0" fontId="32" fillId="4" borderId="9" xfId="0" applyFont="1" applyFill="1" applyBorder="1" applyProtection="1">
      <protection hidden="1"/>
    </xf>
    <xf numFmtId="0" fontId="18" fillId="4" borderId="1" xfId="0" applyFont="1" applyFill="1" applyBorder="1" applyProtection="1">
      <protection hidden="1"/>
    </xf>
    <xf numFmtId="0" fontId="18" fillId="4" borderId="3" xfId="0" applyFont="1" applyFill="1" applyBorder="1" applyProtection="1">
      <protection hidden="1"/>
    </xf>
    <xf numFmtId="0" fontId="18" fillId="5" borderId="3" xfId="0" applyFont="1" applyFill="1" applyBorder="1" applyAlignment="1" applyProtection="1">
      <alignment horizontal="center"/>
      <protection hidden="1"/>
    </xf>
    <xf numFmtId="0" fontId="32" fillId="4" borderId="56" xfId="0" applyFont="1" applyFill="1" applyBorder="1" applyProtection="1">
      <protection hidden="1"/>
    </xf>
    <xf numFmtId="2" fontId="19" fillId="4" borderId="19" xfId="0" applyNumberFormat="1" applyFont="1" applyFill="1" applyBorder="1" applyProtection="1">
      <protection hidden="1"/>
    </xf>
    <xf numFmtId="0" fontId="19" fillId="4" borderId="19" xfId="0" applyFont="1" applyFill="1" applyBorder="1" applyProtection="1">
      <protection hidden="1"/>
    </xf>
    <xf numFmtId="2" fontId="19" fillId="5" borderId="19" xfId="0" applyNumberFormat="1" applyFont="1" applyFill="1" applyBorder="1" applyAlignment="1" applyProtection="1">
      <alignment horizontal="center"/>
      <protection hidden="1"/>
    </xf>
    <xf numFmtId="2" fontId="34" fillId="5" borderId="1" xfId="0" applyNumberFormat="1" applyFont="1" applyFill="1" applyBorder="1" applyProtection="1">
      <protection hidden="1"/>
    </xf>
    <xf numFmtId="2" fontId="34" fillId="5" borderId="17" xfId="0" applyNumberFormat="1" applyFont="1" applyFill="1" applyBorder="1" applyProtection="1">
      <protection hidden="1"/>
    </xf>
    <xf numFmtId="0" fontId="34" fillId="5" borderId="6" xfId="0" applyFont="1" applyFill="1" applyBorder="1" applyProtection="1">
      <protection hidden="1"/>
    </xf>
    <xf numFmtId="0" fontId="19" fillId="4" borderId="7" xfId="0" applyFont="1" applyFill="1" applyBorder="1" applyProtection="1">
      <protection hidden="1"/>
    </xf>
    <xf numFmtId="0" fontId="19" fillId="4" borderId="8" xfId="0" applyFont="1" applyFill="1" applyBorder="1" applyProtection="1">
      <protection hidden="1"/>
    </xf>
    <xf numFmtId="0" fontId="19" fillId="5" borderId="8" xfId="0" applyFont="1" applyFill="1" applyBorder="1" applyAlignment="1" applyProtection="1">
      <alignment horizontal="center"/>
      <protection hidden="1"/>
    </xf>
    <xf numFmtId="0" fontId="19" fillId="4" borderId="28" xfId="0" applyFont="1" applyFill="1" applyBorder="1" applyProtection="1">
      <protection hidden="1"/>
    </xf>
    <xf numFmtId="1" fontId="32" fillId="4" borderId="32" xfId="0" applyNumberFormat="1" applyFont="1" applyFill="1" applyBorder="1" applyAlignment="1" applyProtection="1">
      <alignment horizontal="left"/>
      <protection hidden="1"/>
    </xf>
    <xf numFmtId="1" fontId="32" fillId="5" borderId="61" xfId="0" applyNumberFormat="1" applyFont="1" applyFill="1" applyBorder="1" applyAlignment="1" applyProtection="1">
      <alignment horizontal="center"/>
      <protection hidden="1"/>
    </xf>
    <xf numFmtId="0" fontId="32" fillId="4" borderId="62" xfId="0" applyFont="1" applyFill="1" applyBorder="1" applyProtection="1">
      <protection hidden="1"/>
    </xf>
    <xf numFmtId="1" fontId="18" fillId="4" borderId="1" xfId="0" applyNumberFormat="1" applyFont="1" applyFill="1" applyBorder="1" applyAlignment="1" applyProtection="1">
      <alignment horizontal="left"/>
      <protection hidden="1"/>
    </xf>
    <xf numFmtId="1" fontId="18" fillId="5" borderId="3" xfId="0" applyNumberFormat="1" applyFont="1" applyFill="1" applyBorder="1" applyAlignment="1" applyProtection="1">
      <alignment horizontal="center"/>
      <protection hidden="1"/>
    </xf>
    <xf numFmtId="0" fontId="32" fillId="4" borderId="60" xfId="0" applyFont="1" applyFill="1" applyBorder="1" applyProtection="1">
      <protection hidden="1"/>
    </xf>
    <xf numFmtId="0" fontId="19" fillId="4" borderId="14" xfId="0" applyFont="1" applyFill="1" applyBorder="1" applyProtection="1">
      <protection hidden="1"/>
    </xf>
    <xf numFmtId="0" fontId="19" fillId="5" borderId="14" xfId="0" applyFont="1" applyFill="1" applyBorder="1" applyAlignment="1" applyProtection="1">
      <alignment horizontal="center"/>
      <protection hidden="1"/>
    </xf>
    <xf numFmtId="2" fontId="34" fillId="5" borderId="56" xfId="0" applyNumberFormat="1" applyFont="1" applyFill="1" applyBorder="1" applyProtection="1">
      <protection hidden="1"/>
    </xf>
    <xf numFmtId="0" fontId="34" fillId="5" borderId="3" xfId="0" applyFont="1" applyFill="1" applyBorder="1" applyProtection="1">
      <protection hidden="1"/>
    </xf>
    <xf numFmtId="0" fontId="19" fillId="4" borderId="13" xfId="0" applyFont="1" applyFill="1" applyBorder="1" applyProtection="1">
      <protection hidden="1"/>
    </xf>
    <xf numFmtId="0" fontId="19" fillId="4" borderId="31" xfId="0" applyFont="1" applyFill="1" applyBorder="1" applyProtection="1">
      <protection hidden="1"/>
    </xf>
    <xf numFmtId="1" fontId="10" fillId="5" borderId="50" xfId="0" applyNumberFormat="1" applyFont="1" applyFill="1" applyBorder="1" applyAlignment="1" applyProtection="1">
      <alignment horizontal="center"/>
      <protection hidden="1"/>
    </xf>
    <xf numFmtId="11" fontId="9" fillId="4" borderId="51" xfId="0" applyNumberFormat="1" applyFont="1" applyFill="1" applyBorder="1" applyProtection="1">
      <protection hidden="1"/>
    </xf>
    <xf numFmtId="0" fontId="32" fillId="4" borderId="45" xfId="0" applyFont="1" applyFill="1" applyBorder="1" applyProtection="1">
      <protection hidden="1"/>
    </xf>
    <xf numFmtId="1" fontId="34" fillId="4" borderId="42" xfId="0" applyNumberFormat="1" applyFont="1" applyFill="1" applyBorder="1" applyAlignment="1" applyProtection="1">
      <alignment horizontal="center"/>
      <protection hidden="1"/>
    </xf>
    <xf numFmtId="1" fontId="35" fillId="5" borderId="16" xfId="0" applyNumberFormat="1" applyFont="1" applyFill="1" applyBorder="1" applyAlignment="1" applyProtection="1">
      <alignment horizontal="center"/>
      <protection hidden="1"/>
    </xf>
    <xf numFmtId="2" fontId="19" fillId="4" borderId="14" xfId="0" applyNumberFormat="1" applyFont="1" applyFill="1" applyBorder="1" applyProtection="1">
      <protection hidden="1"/>
    </xf>
    <xf numFmtId="1" fontId="19" fillId="5" borderId="14" xfId="0" applyNumberFormat="1" applyFont="1" applyFill="1" applyBorder="1" applyAlignment="1" applyProtection="1">
      <alignment horizontal="center"/>
      <protection hidden="1"/>
    </xf>
    <xf numFmtId="0" fontId="16" fillId="3" borderId="16" xfId="0" applyFont="1" applyFill="1" applyBorder="1" applyProtection="1">
      <protection hidden="1"/>
    </xf>
    <xf numFmtId="1" fontId="34" fillId="4" borderId="30" xfId="0" applyNumberFormat="1" applyFont="1" applyFill="1" applyBorder="1" applyAlignment="1" applyProtection="1">
      <alignment horizontal="center"/>
      <protection hidden="1"/>
    </xf>
    <xf numFmtId="1" fontId="35" fillId="5" borderId="41" xfId="0" applyNumberFormat="1" applyFont="1" applyFill="1" applyBorder="1" applyAlignment="1" applyProtection="1">
      <alignment horizontal="center"/>
      <protection hidden="1"/>
    </xf>
    <xf numFmtId="0" fontId="34" fillId="5" borderId="43" xfId="0" applyFont="1" applyFill="1" applyBorder="1" applyProtection="1">
      <protection hidden="1"/>
    </xf>
    <xf numFmtId="0" fontId="19" fillId="4" borderId="32" xfId="0" applyFont="1" applyFill="1" applyBorder="1" applyProtection="1">
      <protection hidden="1"/>
    </xf>
    <xf numFmtId="2" fontId="19" fillId="4" borderId="50" xfId="0" applyNumberFormat="1" applyFont="1" applyFill="1" applyBorder="1" applyProtection="1">
      <protection hidden="1"/>
    </xf>
    <xf numFmtId="0" fontId="19" fillId="4" borderId="35" xfId="0" applyFont="1" applyFill="1" applyBorder="1" applyProtection="1">
      <protection hidden="1"/>
    </xf>
    <xf numFmtId="2" fontId="16" fillId="3" borderId="1" xfId="0" applyNumberFormat="1" applyFont="1" applyFill="1" applyBorder="1" applyAlignment="1" applyProtection="1">
      <alignment horizontal="center"/>
      <protection hidden="1"/>
    </xf>
    <xf numFmtId="0" fontId="16" fillId="3" borderId="2" xfId="0" applyFont="1" applyFill="1" applyBorder="1" applyAlignment="1" applyProtection="1">
      <alignment horizontal="left"/>
      <protection hidden="1"/>
    </xf>
    <xf numFmtId="2" fontId="16" fillId="3" borderId="3" xfId="0" applyNumberFormat="1" applyFont="1" applyFill="1" applyBorder="1" applyAlignment="1" applyProtection="1">
      <alignment horizontal="center"/>
      <protection hidden="1"/>
    </xf>
    <xf numFmtId="0" fontId="19" fillId="5" borderId="8" xfId="0" applyFont="1" applyFill="1" applyBorder="1" applyProtection="1">
      <protection hidden="1"/>
    </xf>
    <xf numFmtId="0" fontId="19" fillId="5" borderId="9" xfId="0" applyFont="1" applyFill="1" applyBorder="1" applyProtection="1">
      <protection hidden="1"/>
    </xf>
    <xf numFmtId="2" fontId="16" fillId="3" borderId="1" xfId="0" applyNumberFormat="1" applyFont="1" applyFill="1" applyBorder="1" applyProtection="1">
      <protection hidden="1"/>
    </xf>
    <xf numFmtId="2" fontId="18" fillId="4" borderId="7" xfId="0" applyNumberFormat="1" applyFont="1" applyFill="1" applyBorder="1" applyAlignment="1" applyProtection="1">
      <alignment horizontal="left"/>
      <protection hidden="1"/>
    </xf>
    <xf numFmtId="2" fontId="18" fillId="4" borderId="8" xfId="0" applyNumberFormat="1" applyFont="1" applyFill="1" applyBorder="1" applyAlignment="1" applyProtection="1">
      <alignment horizontal="left"/>
      <protection hidden="1"/>
    </xf>
    <xf numFmtId="1" fontId="19" fillId="5" borderId="8" xfId="0" applyNumberFormat="1" applyFont="1" applyFill="1" applyBorder="1" applyAlignment="1" applyProtection="1">
      <alignment horizontal="center"/>
      <protection hidden="1"/>
    </xf>
    <xf numFmtId="11" fontId="18" fillId="5" borderId="9" xfId="0" applyNumberFormat="1" applyFont="1" applyFill="1" applyBorder="1" applyProtection="1">
      <protection hidden="1"/>
    </xf>
    <xf numFmtId="2" fontId="36" fillId="5" borderId="10" xfId="0" applyNumberFormat="1" applyFont="1" applyFill="1" applyBorder="1" applyAlignment="1" applyProtection="1">
      <alignment horizontal="center"/>
      <protection hidden="1"/>
    </xf>
    <xf numFmtId="2" fontId="36" fillId="5" borderId="44" xfId="0" applyNumberFormat="1" applyFont="1" applyFill="1" applyBorder="1" applyAlignment="1" applyProtection="1">
      <alignment horizontal="center"/>
      <protection hidden="1"/>
    </xf>
    <xf numFmtId="2" fontId="36" fillId="5" borderId="45" xfId="0" applyNumberFormat="1" applyFont="1" applyFill="1" applyBorder="1" applyAlignment="1" applyProtection="1">
      <alignment horizontal="left"/>
      <protection hidden="1"/>
    </xf>
    <xf numFmtId="2" fontId="19" fillId="4" borderId="13" xfId="0" applyNumberFormat="1" applyFont="1" applyFill="1" applyBorder="1" applyProtection="1">
      <protection hidden="1"/>
    </xf>
    <xf numFmtId="0" fontId="19" fillId="4" borderId="15" xfId="0" applyFont="1" applyFill="1" applyBorder="1" applyProtection="1">
      <protection hidden="1"/>
    </xf>
    <xf numFmtId="2" fontId="32" fillId="5" borderId="10" xfId="0" applyNumberFormat="1" applyFont="1" applyFill="1" applyBorder="1" applyProtection="1">
      <protection hidden="1"/>
    </xf>
    <xf numFmtId="2" fontId="32" fillId="5" borderId="44" xfId="0" applyNumberFormat="1" applyFont="1" applyFill="1" applyBorder="1" applyAlignment="1" applyProtection="1">
      <alignment horizontal="center"/>
      <protection hidden="1"/>
    </xf>
    <xf numFmtId="0" fontId="32" fillId="5" borderId="44" xfId="0" applyFont="1" applyFill="1" applyBorder="1" applyAlignment="1" applyProtection="1">
      <alignment horizontal="center"/>
      <protection hidden="1"/>
    </xf>
    <xf numFmtId="0" fontId="32" fillId="5" borderId="45" xfId="0" applyFont="1" applyFill="1" applyBorder="1" applyAlignment="1" applyProtection="1">
      <alignment horizontal="center"/>
      <protection hidden="1"/>
    </xf>
    <xf numFmtId="2" fontId="19" fillId="5" borderId="50" xfId="0" applyNumberFormat="1" applyFont="1" applyFill="1" applyBorder="1" applyAlignment="1" applyProtection="1">
      <alignment horizontal="center"/>
      <protection hidden="1"/>
    </xf>
    <xf numFmtId="2" fontId="18" fillId="5" borderId="51" xfId="0" applyNumberFormat="1" applyFont="1" applyFill="1" applyBorder="1" applyProtection="1">
      <protection hidden="1"/>
    </xf>
    <xf numFmtId="1" fontId="19" fillId="4" borderId="18" xfId="0" applyNumberFormat="1" applyFont="1" applyFill="1" applyBorder="1" applyAlignment="1" applyProtection="1">
      <alignment horizontal="center"/>
      <protection hidden="1"/>
    </xf>
    <xf numFmtId="1" fontId="19" fillId="5" borderId="19" xfId="0" applyNumberFormat="1" applyFont="1" applyFill="1" applyBorder="1" applyAlignment="1" applyProtection="1">
      <alignment horizontal="center"/>
      <protection hidden="1"/>
    </xf>
    <xf numFmtId="2" fontId="19" fillId="4" borderId="20" xfId="0" applyNumberFormat="1" applyFont="1" applyFill="1" applyBorder="1" applyAlignment="1" applyProtection="1">
      <alignment horizontal="left"/>
      <protection hidden="1"/>
    </xf>
    <xf numFmtId="1" fontId="32" fillId="4" borderId="18" xfId="0" applyNumberFormat="1" applyFont="1" applyFill="1" applyBorder="1" applyAlignment="1" applyProtection="1">
      <alignment horizontal="center"/>
      <protection hidden="1"/>
    </xf>
    <xf numFmtId="2" fontId="32" fillId="4" borderId="19" xfId="0" applyNumberFormat="1" applyFont="1" applyFill="1" applyBorder="1" applyAlignment="1" applyProtection="1">
      <alignment horizontal="left"/>
      <protection hidden="1"/>
    </xf>
    <xf numFmtId="0" fontId="32" fillId="5" borderId="19" xfId="0" applyFont="1" applyFill="1" applyBorder="1" applyAlignment="1" applyProtection="1">
      <alignment horizontal="center"/>
      <protection hidden="1"/>
    </xf>
    <xf numFmtId="0" fontId="32" fillId="5" borderId="20" xfId="0" applyFont="1" applyFill="1" applyBorder="1" applyAlignment="1" applyProtection="1">
      <alignment horizontal="center"/>
      <protection hidden="1"/>
    </xf>
    <xf numFmtId="1" fontId="19" fillId="4" borderId="13" xfId="0" applyNumberFormat="1" applyFont="1" applyFill="1" applyBorder="1" applyAlignment="1" applyProtection="1">
      <alignment horizontal="center"/>
      <protection hidden="1"/>
    </xf>
    <xf numFmtId="2" fontId="19" fillId="4" borderId="15" xfId="0" applyNumberFormat="1" applyFont="1" applyFill="1" applyBorder="1" applyAlignment="1" applyProtection="1">
      <alignment horizontal="left"/>
      <protection hidden="1"/>
    </xf>
    <xf numFmtId="2" fontId="19" fillId="5" borderId="14" xfId="0" applyNumberFormat="1" applyFont="1" applyFill="1" applyBorder="1" applyAlignment="1" applyProtection="1">
      <alignment horizontal="center"/>
      <protection hidden="1"/>
    </xf>
    <xf numFmtId="1" fontId="32" fillId="4" borderId="13" xfId="0" applyNumberFormat="1" applyFont="1" applyFill="1" applyBorder="1" applyAlignment="1" applyProtection="1">
      <alignment horizontal="center"/>
      <protection hidden="1"/>
    </xf>
    <xf numFmtId="2" fontId="32" fillId="4" borderId="14" xfId="0" applyNumberFormat="1" applyFont="1" applyFill="1" applyBorder="1" applyProtection="1">
      <protection hidden="1"/>
    </xf>
    <xf numFmtId="1" fontId="34" fillId="4" borderId="37" xfId="0" applyNumberFormat="1" applyFont="1" applyFill="1" applyBorder="1" applyAlignment="1" applyProtection="1">
      <alignment horizontal="center"/>
      <protection hidden="1"/>
    </xf>
    <xf numFmtId="1" fontId="35" fillId="5" borderId="46" xfId="0" applyNumberFormat="1" applyFont="1" applyFill="1" applyBorder="1" applyAlignment="1" applyProtection="1">
      <alignment horizontal="center"/>
      <protection hidden="1"/>
    </xf>
    <xf numFmtId="0" fontId="34" fillId="5" borderId="48" xfId="0" applyFont="1" applyFill="1" applyBorder="1" applyProtection="1">
      <protection hidden="1"/>
    </xf>
    <xf numFmtId="2" fontId="32" fillId="4" borderId="14" xfId="0" applyNumberFormat="1" applyFont="1" applyFill="1" applyBorder="1" applyAlignment="1" applyProtection="1">
      <alignment horizontal="left"/>
      <protection hidden="1"/>
    </xf>
    <xf numFmtId="2" fontId="18" fillId="4" borderId="18" xfId="0" applyNumberFormat="1" applyFont="1" applyFill="1" applyBorder="1" applyAlignment="1" applyProtection="1">
      <alignment horizontal="left"/>
      <protection hidden="1"/>
    </xf>
    <xf numFmtId="2" fontId="25" fillId="5" borderId="20" xfId="0" applyNumberFormat="1" applyFont="1" applyFill="1" applyBorder="1" applyProtection="1">
      <protection hidden="1"/>
    </xf>
    <xf numFmtId="2" fontId="25" fillId="5" borderId="51" xfId="0" applyNumberFormat="1" applyFont="1" applyFill="1" applyBorder="1" applyProtection="1">
      <protection hidden="1"/>
    </xf>
    <xf numFmtId="1" fontId="0" fillId="4" borderId="42" xfId="0" applyNumberFormat="1" applyFill="1" applyBorder="1" applyAlignment="1" applyProtection="1">
      <alignment horizontal="center"/>
      <protection hidden="1"/>
    </xf>
    <xf numFmtId="1" fontId="8" fillId="0" borderId="41" xfId="0" applyNumberFormat="1" applyFont="1" applyBorder="1" applyAlignment="1" applyProtection="1">
      <alignment horizontal="center"/>
      <protection hidden="1"/>
    </xf>
    <xf numFmtId="2" fontId="19" fillId="4" borderId="32" xfId="0" applyNumberFormat="1" applyFont="1" applyFill="1" applyBorder="1" applyProtection="1">
      <protection hidden="1"/>
    </xf>
    <xf numFmtId="0" fontId="19" fillId="4" borderId="51" xfId="0" applyFont="1" applyFill="1" applyBorder="1" applyProtection="1">
      <protection hidden="1"/>
    </xf>
    <xf numFmtId="1" fontId="32" fillId="4" borderId="32" xfId="0" applyNumberFormat="1" applyFont="1" applyFill="1" applyBorder="1" applyAlignment="1" applyProtection="1">
      <alignment horizontal="center"/>
      <protection hidden="1"/>
    </xf>
    <xf numFmtId="2" fontId="32" fillId="4" borderId="50" xfId="0" applyNumberFormat="1" applyFont="1" applyFill="1" applyBorder="1" applyAlignment="1" applyProtection="1">
      <alignment horizontal="left"/>
      <protection hidden="1"/>
    </xf>
    <xf numFmtId="1" fontId="0" fillId="4" borderId="37" xfId="0" applyNumberFormat="1" applyFill="1" applyBorder="1" applyAlignment="1" applyProtection="1">
      <alignment horizontal="center"/>
      <protection hidden="1"/>
    </xf>
    <xf numFmtId="1" fontId="8" fillId="0" borderId="46" xfId="0" applyNumberFormat="1" applyFont="1" applyBorder="1" applyAlignment="1" applyProtection="1">
      <alignment horizontal="center"/>
      <protection hidden="1"/>
    </xf>
    <xf numFmtId="1" fontId="19" fillId="4" borderId="32" xfId="0" applyNumberFormat="1" applyFont="1" applyFill="1" applyBorder="1" applyAlignment="1" applyProtection="1">
      <alignment horizontal="center"/>
      <protection hidden="1"/>
    </xf>
    <xf numFmtId="2" fontId="19" fillId="4" borderId="51" xfId="0" applyNumberFormat="1" applyFont="1" applyFill="1" applyBorder="1" applyAlignment="1" applyProtection="1">
      <alignment horizontal="left"/>
      <protection hidden="1"/>
    </xf>
    <xf numFmtId="2" fontId="8" fillId="12" borderId="0" xfId="0" applyNumberFormat="1" applyFont="1" applyFill="1" applyProtection="1">
      <protection hidden="1"/>
    </xf>
    <xf numFmtId="2" fontId="8" fillId="6" borderId="10" xfId="0" applyNumberFormat="1" applyFont="1" applyFill="1" applyBorder="1" applyProtection="1">
      <protection hidden="1"/>
    </xf>
    <xf numFmtId="2" fontId="8" fillId="6" borderId="1" xfId="0" applyNumberFormat="1" applyFont="1" applyFill="1" applyBorder="1" applyAlignment="1" applyProtection="1">
      <alignment vertical="center" wrapText="1"/>
      <protection hidden="1"/>
    </xf>
    <xf numFmtId="2" fontId="8" fillId="6" borderId="2" xfId="0" applyNumberFormat="1" applyFont="1" applyFill="1" applyBorder="1" applyProtection="1">
      <protection hidden="1"/>
    </xf>
    <xf numFmtId="2" fontId="8" fillId="7" borderId="14" xfId="0" applyNumberFormat="1" applyFont="1" applyFill="1" applyBorder="1" applyAlignment="1" applyProtection="1">
      <alignment horizontal="center"/>
      <protection hidden="1"/>
    </xf>
    <xf numFmtId="2" fontId="0" fillId="0" borderId="18" xfId="0" applyNumberFormat="1" applyBorder="1" applyAlignment="1" applyProtection="1">
      <alignment horizontal="center"/>
      <protection hidden="1"/>
    </xf>
    <xf numFmtId="2" fontId="8" fillId="8" borderId="19" xfId="0" applyNumberFormat="1" applyFont="1" applyFill="1" applyBorder="1" applyAlignment="1" applyProtection="1">
      <alignment horizontal="center"/>
      <protection hidden="1"/>
    </xf>
    <xf numFmtId="2" fontId="0" fillId="0" borderId="13" xfId="0" applyNumberFormat="1" applyBorder="1" applyAlignment="1" applyProtection="1">
      <alignment horizontal="center"/>
      <protection hidden="1"/>
    </xf>
    <xf numFmtId="2" fontId="0" fillId="0" borderId="12" xfId="0" applyNumberFormat="1" applyBorder="1" applyAlignment="1" applyProtection="1">
      <alignment horizontal="center"/>
      <protection hidden="1"/>
    </xf>
    <xf numFmtId="2" fontId="8" fillId="7" borderId="1" xfId="0" applyNumberFormat="1" applyFont="1" applyFill="1" applyBorder="1" applyAlignment="1" applyProtection="1">
      <alignment horizontal="center"/>
      <protection hidden="1"/>
    </xf>
    <xf numFmtId="2" fontId="8" fillId="7" borderId="2" xfId="0" applyNumberFormat="1" applyFont="1" applyFill="1" applyBorder="1" applyProtection="1">
      <protection hidden="1"/>
    </xf>
    <xf numFmtId="165" fontId="8" fillId="7" borderId="3" xfId="0" applyNumberFormat="1" applyFont="1" applyFill="1" applyBorder="1" applyProtection="1">
      <protection hidden="1"/>
    </xf>
    <xf numFmtId="0" fontId="0" fillId="0" borderId="0" xfId="0" applyAlignment="1" applyProtection="1">
      <alignment horizontal="left"/>
      <protection hidden="1"/>
    </xf>
    <xf numFmtId="165" fontId="8" fillId="7" borderId="2" xfId="0" applyNumberFormat="1" applyFont="1" applyFill="1" applyBorder="1" applyProtection="1">
      <protection hidden="1"/>
    </xf>
    <xf numFmtId="2" fontId="8" fillId="8" borderId="7" xfId="0" applyNumberFormat="1" applyFont="1" applyFill="1" applyBorder="1" applyAlignment="1" applyProtection="1">
      <alignment horizontal="center"/>
      <protection hidden="1"/>
    </xf>
    <xf numFmtId="2" fontId="8" fillId="8" borderId="9" xfId="0" applyNumberFormat="1" applyFont="1" applyFill="1" applyBorder="1" applyAlignment="1" applyProtection="1">
      <alignment horizontal="center"/>
      <protection hidden="1"/>
    </xf>
    <xf numFmtId="2" fontId="8" fillId="8" borderId="13" xfId="0" applyNumberFormat="1" applyFont="1" applyFill="1" applyBorder="1" applyAlignment="1" applyProtection="1">
      <alignment horizontal="center"/>
      <protection hidden="1"/>
    </xf>
    <xf numFmtId="164" fontId="8" fillId="8" borderId="15" xfId="0" applyNumberFormat="1" applyFont="1" applyFill="1" applyBorder="1" applyAlignment="1" applyProtection="1">
      <alignment horizontal="center"/>
      <protection hidden="1"/>
    </xf>
    <xf numFmtId="2" fontId="8" fillId="8" borderId="32" xfId="0" applyNumberFormat="1" applyFont="1" applyFill="1" applyBorder="1" applyAlignment="1" applyProtection="1">
      <alignment horizontal="center"/>
      <protection hidden="1"/>
    </xf>
    <xf numFmtId="164" fontId="8" fillId="8" borderId="51" xfId="0" applyNumberFormat="1" applyFont="1" applyFill="1" applyBorder="1" applyAlignment="1" applyProtection="1">
      <alignment horizontal="center"/>
      <protection hidden="1"/>
    </xf>
    <xf numFmtId="165" fontId="0" fillId="0" borderId="0" xfId="0" applyNumberFormat="1" applyProtection="1">
      <protection hidden="1"/>
    </xf>
    <xf numFmtId="0" fontId="0" fillId="0" borderId="25" xfId="0" applyBorder="1" applyAlignment="1">
      <alignment horizontal="center"/>
    </xf>
    <xf numFmtId="164" fontId="5" fillId="0" borderId="8" xfId="0" applyNumberFormat="1" applyFont="1" applyBorder="1" applyProtection="1">
      <protection hidden="1"/>
    </xf>
    <xf numFmtId="1" fontId="0" fillId="0" borderId="43" xfId="0" applyNumberFormat="1" applyBorder="1" applyProtection="1">
      <protection hidden="1"/>
    </xf>
    <xf numFmtId="165" fontId="5" fillId="0" borderId="50" xfId="0" applyNumberFormat="1" applyFont="1" applyBorder="1" applyProtection="1">
      <protection hidden="1"/>
    </xf>
    <xf numFmtId="0" fontId="37" fillId="0" borderId="0" xfId="0" applyFont="1" applyProtection="1">
      <protection hidden="1"/>
    </xf>
    <xf numFmtId="0" fontId="0" fillId="2" borderId="45" xfId="0" applyFill="1" applyBorder="1" applyProtection="1">
      <protection hidden="1"/>
    </xf>
    <xf numFmtId="2" fontId="0" fillId="0" borderId="49" xfId="0" applyNumberFormat="1" applyBorder="1" applyProtection="1">
      <protection hidden="1"/>
    </xf>
    <xf numFmtId="0" fontId="0" fillId="0" borderId="60" xfId="0" applyBorder="1" applyProtection="1">
      <protection hidden="1"/>
    </xf>
    <xf numFmtId="0" fontId="9" fillId="4" borderId="16" xfId="0" applyFont="1" applyFill="1" applyBorder="1" applyProtection="1">
      <protection hidden="1"/>
    </xf>
    <xf numFmtId="0" fontId="9" fillId="4" borderId="41" xfId="0" applyFont="1" applyFill="1" applyBorder="1" applyProtection="1">
      <protection hidden="1"/>
    </xf>
    <xf numFmtId="2" fontId="9" fillId="4" borderId="46" xfId="0" applyNumberFormat="1" applyFont="1" applyFill="1" applyBorder="1" applyProtection="1">
      <protection hidden="1"/>
    </xf>
    <xf numFmtId="2" fontId="24" fillId="0" borderId="0" xfId="0" applyNumberFormat="1" applyFont="1" applyProtection="1">
      <protection hidden="1"/>
    </xf>
    <xf numFmtId="2" fontId="28" fillId="0" borderId="0" xfId="0" applyNumberFormat="1" applyFont="1" applyProtection="1">
      <protection hidden="1"/>
    </xf>
    <xf numFmtId="2" fontId="16" fillId="3" borderId="10" xfId="0" applyNumberFormat="1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1" fontId="7" fillId="3" borderId="3" xfId="0" applyNumberFormat="1" applyFont="1" applyFill="1" applyBorder="1" applyAlignment="1">
      <alignment horizontal="center"/>
    </xf>
    <xf numFmtId="2" fontId="28" fillId="6" borderId="10" xfId="0" applyNumberFormat="1" applyFont="1" applyFill="1" applyBorder="1" applyAlignment="1" applyProtection="1">
      <alignment horizontal="center"/>
      <protection hidden="1"/>
    </xf>
    <xf numFmtId="2" fontId="28" fillId="6" borderId="11" xfId="0" applyNumberFormat="1" applyFont="1" applyFill="1" applyBorder="1" applyAlignment="1" applyProtection="1">
      <alignment vertical="center" wrapText="1"/>
      <protection hidden="1"/>
    </xf>
    <xf numFmtId="2" fontId="28" fillId="6" borderId="56" xfId="0" applyNumberFormat="1" applyFont="1" applyFill="1" applyBorder="1" applyAlignment="1" applyProtection="1">
      <alignment vertical="center" wrapText="1"/>
      <protection hidden="1"/>
    </xf>
    <xf numFmtId="2" fontId="28" fillId="6" borderId="2" xfId="0" applyNumberFormat="1" applyFont="1" applyFill="1" applyBorder="1" applyAlignment="1" applyProtection="1">
      <alignment horizontal="center"/>
      <protection hidden="1"/>
    </xf>
    <xf numFmtId="2" fontId="28" fillId="7" borderId="7" xfId="0" applyNumberFormat="1" applyFont="1" applyFill="1" applyBorder="1" applyAlignment="1" applyProtection="1">
      <alignment horizontal="center"/>
      <protection hidden="1"/>
    </xf>
    <xf numFmtId="2" fontId="28" fillId="7" borderId="8" xfId="0" applyNumberFormat="1" applyFont="1" applyFill="1" applyBorder="1" applyAlignment="1" applyProtection="1">
      <alignment horizontal="center"/>
      <protection hidden="1"/>
    </xf>
    <xf numFmtId="2" fontId="28" fillId="7" borderId="9" xfId="0" applyNumberFormat="1" applyFont="1" applyFill="1" applyBorder="1" applyAlignment="1" applyProtection="1">
      <alignment horizontal="center"/>
      <protection hidden="1"/>
    </xf>
    <xf numFmtId="0" fontId="38" fillId="3" borderId="16" xfId="0" applyFont="1" applyFill="1" applyBorder="1" applyProtection="1">
      <protection hidden="1"/>
    </xf>
    <xf numFmtId="0" fontId="39" fillId="3" borderId="17" xfId="0" applyFont="1" applyFill="1" applyBorder="1" applyProtection="1">
      <protection hidden="1"/>
    </xf>
    <xf numFmtId="0" fontId="39" fillId="3" borderId="2" xfId="0" applyFont="1" applyFill="1" applyBorder="1" applyProtection="1">
      <protection hidden="1"/>
    </xf>
    <xf numFmtId="0" fontId="39" fillId="3" borderId="6" xfId="0" applyFont="1" applyFill="1" applyBorder="1" applyProtection="1">
      <protection hidden="1"/>
    </xf>
    <xf numFmtId="0" fontId="39" fillId="3" borderId="3" xfId="0" applyFont="1" applyFill="1" applyBorder="1" applyProtection="1">
      <protection hidden="1"/>
    </xf>
    <xf numFmtId="2" fontId="24" fillId="8" borderId="18" xfId="0" applyNumberFormat="1" applyFont="1" applyFill="1" applyBorder="1" applyAlignment="1" applyProtection="1">
      <alignment horizontal="center"/>
      <protection hidden="1"/>
    </xf>
    <xf numFmtId="2" fontId="28" fillId="8" borderId="19" xfId="0" applyNumberFormat="1" applyFont="1" applyFill="1" applyBorder="1" applyAlignment="1" applyProtection="1">
      <alignment horizontal="center"/>
      <protection hidden="1"/>
    </xf>
    <xf numFmtId="2" fontId="24" fillId="8" borderId="19" xfId="0" applyNumberFormat="1" applyFont="1" applyFill="1" applyBorder="1" applyAlignment="1" applyProtection="1">
      <alignment horizontal="center"/>
      <protection hidden="1"/>
    </xf>
    <xf numFmtId="2" fontId="24" fillId="8" borderId="38" xfId="0" applyNumberFormat="1" applyFont="1" applyFill="1" applyBorder="1" applyAlignment="1" applyProtection="1">
      <alignment horizontal="center"/>
      <protection hidden="1"/>
    </xf>
    <xf numFmtId="2" fontId="24" fillId="6" borderId="13" xfId="0" applyNumberFormat="1" applyFont="1" applyFill="1" applyBorder="1" applyAlignment="1" applyProtection="1">
      <alignment horizontal="center"/>
      <protection hidden="1"/>
    </xf>
    <xf numFmtId="2" fontId="24" fillId="6" borderId="14" xfId="0" applyNumberFormat="1" applyFont="1" applyFill="1" applyBorder="1" applyAlignment="1" applyProtection="1">
      <alignment horizontal="center"/>
      <protection hidden="1"/>
    </xf>
    <xf numFmtId="2" fontId="24" fillId="6" borderId="15" xfId="0" applyNumberFormat="1" applyFont="1" applyFill="1" applyBorder="1" applyAlignment="1" applyProtection="1">
      <alignment horizontal="center"/>
      <protection hidden="1"/>
    </xf>
    <xf numFmtId="0" fontId="24" fillId="4" borderId="7" xfId="0" applyFont="1" applyFill="1" applyBorder="1" applyProtection="1">
      <protection hidden="1"/>
    </xf>
    <xf numFmtId="0" fontId="24" fillId="4" borderId="8" xfId="0" applyFont="1" applyFill="1" applyBorder="1" applyProtection="1">
      <protection hidden="1"/>
    </xf>
    <xf numFmtId="0" fontId="24" fillId="4" borderId="9" xfId="0" applyFont="1" applyFill="1" applyBorder="1" applyProtection="1">
      <protection hidden="1"/>
    </xf>
    <xf numFmtId="2" fontId="24" fillId="6" borderId="1" xfId="0" applyNumberFormat="1" applyFont="1" applyFill="1" applyBorder="1" applyProtection="1">
      <protection hidden="1"/>
    </xf>
    <xf numFmtId="0" fontId="24" fillId="4" borderId="27" xfId="0" applyFont="1" applyFill="1" applyBorder="1" applyProtection="1">
      <protection hidden="1"/>
    </xf>
    <xf numFmtId="2" fontId="24" fillId="8" borderId="13" xfId="0" applyNumberFormat="1" applyFont="1" applyFill="1" applyBorder="1" applyAlignment="1" applyProtection="1">
      <alignment horizontal="center"/>
      <protection hidden="1"/>
    </xf>
    <xf numFmtId="2" fontId="24" fillId="8" borderId="14" xfId="0" applyNumberFormat="1" applyFont="1" applyFill="1" applyBorder="1" applyAlignment="1" applyProtection="1">
      <alignment horizontal="center"/>
      <protection hidden="1"/>
    </xf>
    <xf numFmtId="2" fontId="24" fillId="8" borderId="29" xfId="0" applyNumberFormat="1" applyFont="1" applyFill="1" applyBorder="1" applyAlignment="1" applyProtection="1">
      <alignment horizontal="center"/>
      <protection hidden="1"/>
    </xf>
    <xf numFmtId="0" fontId="24" fillId="4" borderId="13" xfId="0" applyFont="1" applyFill="1" applyBorder="1" applyProtection="1">
      <protection hidden="1"/>
    </xf>
    <xf numFmtId="0" fontId="24" fillId="4" borderId="14" xfId="0" applyFont="1" applyFill="1" applyBorder="1" applyProtection="1">
      <protection hidden="1"/>
    </xf>
    <xf numFmtId="0" fontId="24" fillId="4" borderId="29" xfId="0" applyFont="1" applyFill="1" applyBorder="1" applyProtection="1">
      <protection hidden="1"/>
    </xf>
    <xf numFmtId="2" fontId="25" fillId="9" borderId="1" xfId="0" applyNumberFormat="1" applyFont="1" applyFill="1" applyBorder="1" applyAlignment="1" applyProtection="1">
      <alignment horizontal="center"/>
      <protection hidden="1"/>
    </xf>
    <xf numFmtId="2" fontId="25" fillId="8" borderId="1" xfId="0" applyNumberFormat="1" applyFont="1" applyFill="1" applyBorder="1" applyAlignment="1" applyProtection="1">
      <alignment horizontal="center"/>
      <protection hidden="1"/>
    </xf>
    <xf numFmtId="1" fontId="10" fillId="5" borderId="50" xfId="0" applyNumberFormat="1" applyFont="1" applyFill="1" applyBorder="1" applyAlignment="1" applyProtection="1">
      <alignment horizontal="center"/>
      <protection locked="0"/>
    </xf>
    <xf numFmtId="11" fontId="11" fillId="4" borderId="51" xfId="0" applyNumberFormat="1" applyFont="1" applyFill="1" applyBorder="1" applyAlignment="1">
      <alignment horizontal="center"/>
    </xf>
    <xf numFmtId="2" fontId="24" fillId="8" borderId="32" xfId="0" applyNumberFormat="1" applyFont="1" applyFill="1" applyBorder="1" applyAlignment="1" applyProtection="1">
      <alignment horizontal="center"/>
      <protection hidden="1"/>
    </xf>
    <xf numFmtId="2" fontId="28" fillId="8" borderId="24" xfId="0" applyNumberFormat="1" applyFont="1" applyFill="1" applyBorder="1" applyAlignment="1" applyProtection="1">
      <alignment horizontal="center"/>
      <protection hidden="1"/>
    </xf>
    <xf numFmtId="2" fontId="24" fillId="8" borderId="50" xfId="0" applyNumberFormat="1" applyFont="1" applyFill="1" applyBorder="1" applyAlignment="1" applyProtection="1">
      <alignment horizontal="center"/>
      <protection hidden="1"/>
    </xf>
    <xf numFmtId="2" fontId="24" fillId="8" borderId="33" xfId="0" applyNumberFormat="1" applyFont="1" applyFill="1" applyBorder="1" applyAlignment="1" applyProtection="1">
      <alignment horizontal="center"/>
      <protection hidden="1"/>
    </xf>
    <xf numFmtId="2" fontId="24" fillId="6" borderId="32" xfId="0" applyNumberFormat="1" applyFont="1" applyFill="1" applyBorder="1" applyAlignment="1" applyProtection="1">
      <alignment horizontal="center"/>
      <protection hidden="1"/>
    </xf>
    <xf numFmtId="2" fontId="24" fillId="6" borderId="50" xfId="0" applyNumberFormat="1" applyFont="1" applyFill="1" applyBorder="1" applyAlignment="1" applyProtection="1">
      <alignment horizontal="center"/>
      <protection hidden="1"/>
    </xf>
    <xf numFmtId="2" fontId="24" fillId="6" borderId="51" xfId="0" applyNumberFormat="1" applyFont="1" applyFill="1" applyBorder="1" applyAlignment="1" applyProtection="1">
      <alignment horizontal="center"/>
      <protection hidden="1"/>
    </xf>
    <xf numFmtId="2" fontId="28" fillId="7" borderId="46" xfId="0" applyNumberFormat="1" applyFont="1" applyFill="1" applyBorder="1" applyAlignment="1" applyProtection="1">
      <alignment horizontal="center"/>
      <protection hidden="1"/>
    </xf>
    <xf numFmtId="165" fontId="28" fillId="7" borderId="23" xfId="0" applyNumberFormat="1" applyFont="1" applyFill="1" applyBorder="1" applyAlignment="1" applyProtection="1">
      <alignment horizontal="center"/>
      <protection hidden="1"/>
    </xf>
    <xf numFmtId="165" fontId="28" fillId="7" borderId="24" xfId="0" applyNumberFormat="1" applyFont="1" applyFill="1" applyBorder="1" applyAlignment="1" applyProtection="1">
      <alignment horizontal="center"/>
      <protection hidden="1"/>
    </xf>
    <xf numFmtId="165" fontId="28" fillId="7" borderId="25" xfId="0" applyNumberFormat="1" applyFont="1" applyFill="1" applyBorder="1" applyAlignment="1" applyProtection="1">
      <alignment horizontal="center"/>
      <protection hidden="1"/>
    </xf>
    <xf numFmtId="0" fontId="24" fillId="0" borderId="0" xfId="0" applyFont="1" applyProtection="1">
      <protection hidden="1"/>
    </xf>
    <xf numFmtId="0" fontId="16" fillId="3" borderId="3" xfId="0" applyFont="1" applyFill="1" applyBorder="1"/>
    <xf numFmtId="2" fontId="18" fillId="4" borderId="7" xfId="0" applyNumberFormat="1" applyFont="1" applyFill="1" applyBorder="1" applyAlignment="1">
      <alignment horizontal="left"/>
    </xf>
    <xf numFmtId="2" fontId="18" fillId="4" borderId="26" xfId="0" applyNumberFormat="1" applyFont="1" applyFill="1" applyBorder="1" applyAlignment="1">
      <alignment horizontal="left"/>
    </xf>
    <xf numFmtId="1" fontId="19" fillId="5" borderId="27" xfId="0" applyNumberFormat="1" applyFont="1" applyFill="1" applyBorder="1" applyAlignment="1" applyProtection="1">
      <alignment horizontal="center"/>
      <protection locked="0"/>
    </xf>
    <xf numFmtId="11" fontId="20" fillId="4" borderId="28" xfId="0" applyNumberFormat="1" applyFont="1" applyFill="1" applyBorder="1" applyAlignment="1">
      <alignment horizontal="center"/>
    </xf>
    <xf numFmtId="2" fontId="39" fillId="0" borderId="0" xfId="0" applyNumberFormat="1" applyFont="1" applyProtection="1">
      <protection hidden="1"/>
    </xf>
    <xf numFmtId="2" fontId="24" fillId="0" borderId="0" xfId="0" applyNumberFormat="1" applyFont="1" applyAlignment="1" applyProtection="1">
      <alignment horizontal="center"/>
      <protection hidden="1"/>
    </xf>
    <xf numFmtId="2" fontId="18" fillId="4" borderId="13" xfId="0" applyNumberFormat="1" applyFont="1" applyFill="1" applyBorder="1" applyAlignment="1">
      <alignment horizontal="left"/>
    </xf>
    <xf numFmtId="2" fontId="18" fillId="4" borderId="29" xfId="0" applyNumberFormat="1" applyFont="1" applyFill="1" applyBorder="1" applyAlignment="1">
      <alignment horizontal="left"/>
    </xf>
    <xf numFmtId="2" fontId="19" fillId="5" borderId="30" xfId="0" applyNumberFormat="1" applyFont="1" applyFill="1" applyBorder="1" applyAlignment="1" applyProtection="1">
      <alignment horizontal="center"/>
      <protection locked="0"/>
    </xf>
    <xf numFmtId="2" fontId="39" fillId="6" borderId="10" xfId="0" applyNumberFormat="1" applyFont="1" applyFill="1" applyBorder="1" applyAlignment="1" applyProtection="1">
      <alignment horizontal="center"/>
      <protection hidden="1"/>
    </xf>
    <xf numFmtId="2" fontId="39" fillId="6" borderId="11" xfId="0" applyNumberFormat="1" applyFont="1" applyFill="1" applyBorder="1" applyAlignment="1" applyProtection="1">
      <alignment horizontal="center" vertical="center" wrapText="1"/>
      <protection hidden="1"/>
    </xf>
    <xf numFmtId="2" fontId="39" fillId="6" borderId="56" xfId="0" applyNumberFormat="1" applyFont="1" applyFill="1" applyBorder="1" applyAlignment="1" applyProtection="1">
      <alignment horizontal="center" vertical="center" wrapText="1"/>
      <protection hidden="1"/>
    </xf>
    <xf numFmtId="2" fontId="39" fillId="6" borderId="17" xfId="0" applyNumberFormat="1" applyFont="1" applyFill="1" applyBorder="1" applyAlignment="1" applyProtection="1">
      <alignment horizontal="center"/>
      <protection hidden="1"/>
    </xf>
    <xf numFmtId="2" fontId="39" fillId="7" borderId="7" xfId="0" applyNumberFormat="1" applyFont="1" applyFill="1" applyBorder="1" applyAlignment="1" applyProtection="1">
      <alignment horizontal="center"/>
      <protection hidden="1"/>
    </xf>
    <xf numFmtId="2" fontId="39" fillId="7" borderId="8" xfId="0" applyNumberFormat="1" applyFont="1" applyFill="1" applyBorder="1" applyAlignment="1" applyProtection="1">
      <alignment horizontal="center"/>
      <protection hidden="1"/>
    </xf>
    <xf numFmtId="2" fontId="39" fillId="7" borderId="9" xfId="0" applyNumberFormat="1" applyFont="1" applyFill="1" applyBorder="1" applyAlignment="1" applyProtection="1">
      <alignment horizontal="center"/>
      <protection hidden="1"/>
    </xf>
    <xf numFmtId="0" fontId="0" fillId="4" borderId="41" xfId="0" applyFill="1" applyBorder="1"/>
    <xf numFmtId="0" fontId="0" fillId="4" borderId="0" xfId="0" applyFill="1"/>
    <xf numFmtId="0" fontId="0" fillId="4" borderId="43" xfId="0" applyFill="1" applyBorder="1"/>
    <xf numFmtId="1" fontId="0" fillId="9" borderId="52" xfId="0" applyNumberFormat="1" applyFill="1" applyBorder="1" applyAlignment="1">
      <alignment horizontal="center"/>
    </xf>
    <xf numFmtId="1" fontId="0" fillId="8" borderId="52" xfId="0" applyNumberFormat="1" applyFill="1" applyBorder="1" applyAlignment="1">
      <alignment horizontal="center"/>
    </xf>
    <xf numFmtId="1" fontId="0" fillId="9" borderId="0" xfId="0" applyNumberFormat="1" applyFill="1" applyAlignment="1">
      <alignment horizontal="center"/>
    </xf>
    <xf numFmtId="0" fontId="0" fillId="4" borderId="52" xfId="0" applyFill="1" applyBorder="1" applyAlignment="1">
      <alignment horizontal="center"/>
    </xf>
    <xf numFmtId="2" fontId="19" fillId="5" borderId="34" xfId="0" applyNumberFormat="1" applyFont="1" applyFill="1" applyBorder="1" applyAlignment="1" applyProtection="1">
      <alignment horizontal="center"/>
      <protection locked="0"/>
    </xf>
    <xf numFmtId="11" fontId="20" fillId="4" borderId="3" xfId="0" applyNumberFormat="1" applyFont="1" applyFill="1" applyBorder="1" applyAlignment="1">
      <alignment horizontal="center"/>
    </xf>
    <xf numFmtId="2" fontId="28" fillId="8" borderId="14" xfId="0" applyNumberFormat="1" applyFont="1" applyFill="1" applyBorder="1" applyAlignment="1" applyProtection="1">
      <alignment horizontal="center"/>
      <protection hidden="1"/>
    </xf>
    <xf numFmtId="2" fontId="24" fillId="12" borderId="21" xfId="0" applyNumberFormat="1" applyFont="1" applyFill="1" applyBorder="1" applyAlignment="1" applyProtection="1">
      <alignment horizontal="center"/>
      <protection hidden="1"/>
    </xf>
    <xf numFmtId="2" fontId="24" fillId="12" borderId="8" xfId="0" applyNumberFormat="1" applyFont="1" applyFill="1" applyBorder="1" applyAlignment="1" applyProtection="1">
      <alignment horizontal="center"/>
      <protection hidden="1"/>
    </xf>
    <xf numFmtId="2" fontId="24" fillId="12" borderId="9" xfId="0" applyNumberFormat="1" applyFont="1" applyFill="1" applyBorder="1" applyAlignment="1" applyProtection="1">
      <alignment horizontal="center"/>
      <protection hidden="1"/>
    </xf>
    <xf numFmtId="2" fontId="24" fillId="4" borderId="29" xfId="0" applyNumberFormat="1" applyFont="1" applyFill="1" applyBorder="1" applyProtection="1">
      <protection hidden="1"/>
    </xf>
    <xf numFmtId="165" fontId="25" fillId="9" borderId="1" xfId="0" applyNumberFormat="1" applyFont="1" applyFill="1" applyBorder="1" applyAlignment="1" applyProtection="1">
      <alignment horizontal="center"/>
      <protection hidden="1"/>
    </xf>
    <xf numFmtId="165" fontId="25" fillId="8" borderId="1" xfId="0" applyNumberFormat="1" applyFont="1" applyFill="1" applyBorder="1" applyAlignment="1" applyProtection="1">
      <alignment horizontal="center"/>
      <protection hidden="1"/>
    </xf>
    <xf numFmtId="0" fontId="40" fillId="0" borderId="30" xfId="0" applyFont="1" applyBorder="1" applyAlignment="1" applyProtection="1">
      <alignment horizontal="center"/>
      <protection hidden="1"/>
    </xf>
    <xf numFmtId="2" fontId="24" fillId="12" borderId="22" xfId="0" applyNumberFormat="1" applyFont="1" applyFill="1" applyBorder="1" applyAlignment="1" applyProtection="1">
      <alignment horizontal="center"/>
      <protection hidden="1"/>
    </xf>
    <xf numFmtId="2" fontId="24" fillId="12" borderId="14" xfId="0" applyNumberFormat="1" applyFont="1" applyFill="1" applyBorder="1" applyAlignment="1" applyProtection="1">
      <alignment horizontal="center"/>
      <protection hidden="1"/>
    </xf>
    <xf numFmtId="2" fontId="24" fillId="12" borderId="15" xfId="0" applyNumberFormat="1" applyFont="1" applyFill="1" applyBorder="1" applyAlignment="1" applyProtection="1">
      <alignment horizontal="center"/>
      <protection hidden="1"/>
    </xf>
    <xf numFmtId="0" fontId="24" fillId="4" borderId="32" xfId="0" applyFont="1" applyFill="1" applyBorder="1" applyProtection="1">
      <protection hidden="1"/>
    </xf>
    <xf numFmtId="0" fontId="24" fillId="4" borderId="50" xfId="0" applyFont="1" applyFill="1" applyBorder="1" applyProtection="1">
      <protection hidden="1"/>
    </xf>
    <xf numFmtId="0" fontId="24" fillId="4" borderId="61" xfId="0" applyFont="1" applyFill="1" applyBorder="1" applyAlignment="1" applyProtection="1">
      <alignment horizontal="center"/>
      <protection hidden="1"/>
    </xf>
    <xf numFmtId="1" fontId="25" fillId="9" borderId="1" xfId="0" applyNumberFormat="1" applyFont="1" applyFill="1" applyBorder="1" applyAlignment="1" applyProtection="1">
      <alignment horizontal="center"/>
      <protection hidden="1"/>
    </xf>
    <xf numFmtId="1" fontId="25" fillId="8" borderId="1" xfId="0" applyNumberFormat="1" applyFont="1" applyFill="1" applyBorder="1" applyAlignment="1" applyProtection="1">
      <alignment horizontal="center"/>
      <protection hidden="1"/>
    </xf>
    <xf numFmtId="0" fontId="1" fillId="4" borderId="34" xfId="0" applyFont="1" applyFill="1" applyBorder="1" applyAlignment="1" applyProtection="1">
      <alignment horizontal="center"/>
      <protection hidden="1"/>
    </xf>
    <xf numFmtId="0" fontId="0" fillId="4" borderId="29" xfId="0" applyFill="1" applyBorder="1" applyAlignment="1">
      <alignment horizontal="center"/>
    </xf>
    <xf numFmtId="0" fontId="40" fillId="0" borderId="37" xfId="0" applyFont="1" applyBorder="1" applyAlignment="1" applyProtection="1">
      <alignment horizontal="center"/>
      <protection hidden="1"/>
    </xf>
    <xf numFmtId="0" fontId="39" fillId="0" borderId="0" xfId="0" applyFont="1" applyProtection="1">
      <protection hidden="1"/>
    </xf>
    <xf numFmtId="0" fontId="39" fillId="4" borderId="29" xfId="0" applyFont="1" applyFill="1" applyBorder="1" applyAlignment="1" applyProtection="1">
      <alignment horizontal="center"/>
      <protection hidden="1"/>
    </xf>
    <xf numFmtId="2" fontId="24" fillId="8" borderId="23" xfId="0" applyNumberFormat="1" applyFont="1" applyFill="1" applyBorder="1" applyAlignment="1" applyProtection="1">
      <alignment horizontal="center"/>
      <protection hidden="1"/>
    </xf>
    <xf numFmtId="2" fontId="28" fillId="8" borderId="50" xfId="0" applyNumberFormat="1" applyFont="1" applyFill="1" applyBorder="1" applyAlignment="1" applyProtection="1">
      <alignment horizontal="center"/>
      <protection hidden="1"/>
    </xf>
    <xf numFmtId="2" fontId="24" fillId="12" borderId="63" xfId="0" applyNumberFormat="1" applyFont="1" applyFill="1" applyBorder="1" applyAlignment="1" applyProtection="1">
      <alignment horizontal="center"/>
      <protection hidden="1"/>
    </xf>
    <xf numFmtId="2" fontId="24" fillId="12" borderId="50" xfId="0" applyNumberFormat="1" applyFont="1" applyFill="1" applyBorder="1" applyAlignment="1" applyProtection="1">
      <alignment horizontal="center"/>
      <protection hidden="1"/>
    </xf>
    <xf numFmtId="2" fontId="24" fillId="12" borderId="51" xfId="0" applyNumberFormat="1" applyFont="1" applyFill="1" applyBorder="1" applyAlignment="1" applyProtection="1">
      <alignment horizontal="center"/>
      <protection hidden="1"/>
    </xf>
    <xf numFmtId="0" fontId="0" fillId="4" borderId="29" xfId="0" applyFill="1" applyBorder="1" applyAlignment="1" applyProtection="1">
      <alignment horizontal="center"/>
      <protection hidden="1"/>
    </xf>
    <xf numFmtId="0" fontId="16" fillId="3" borderId="1" xfId="0" applyFont="1" applyFill="1" applyBorder="1"/>
    <xf numFmtId="2" fontId="18" fillId="4" borderId="64" xfId="0" applyNumberFormat="1" applyFont="1" applyFill="1" applyBorder="1" applyAlignment="1">
      <alignment horizontal="left"/>
    </xf>
    <xf numFmtId="2" fontId="19" fillId="5" borderId="27" xfId="0" applyNumberFormat="1" applyFont="1" applyFill="1" applyBorder="1" applyAlignment="1" applyProtection="1">
      <alignment horizontal="center"/>
      <protection locked="0"/>
    </xf>
    <xf numFmtId="2" fontId="41" fillId="4" borderId="39" xfId="0" applyNumberFormat="1" applyFont="1" applyFill="1" applyBorder="1" applyAlignment="1">
      <alignment horizontal="center"/>
    </xf>
    <xf numFmtId="2" fontId="18" fillId="4" borderId="54" xfId="0" applyNumberFormat="1" applyFont="1" applyFill="1" applyBorder="1" applyAlignment="1">
      <alignment horizontal="left"/>
    </xf>
    <xf numFmtId="2" fontId="19" fillId="5" borderId="37" xfId="0" applyNumberFormat="1" applyFont="1" applyFill="1" applyBorder="1" applyAlignment="1" applyProtection="1">
      <alignment horizontal="center"/>
      <protection locked="0"/>
    </xf>
    <xf numFmtId="2" fontId="41" fillId="4" borderId="35" xfId="0" applyNumberFormat="1" applyFont="1" applyFill="1" applyBorder="1" applyAlignment="1">
      <alignment horizontal="center"/>
    </xf>
    <xf numFmtId="2" fontId="6" fillId="6" borderId="40" xfId="0" applyNumberFormat="1" applyFont="1" applyFill="1" applyBorder="1" applyProtection="1">
      <protection hidden="1"/>
    </xf>
    <xf numFmtId="0" fontId="6" fillId="6" borderId="28" xfId="0" applyFont="1" applyFill="1" applyBorder="1" applyProtection="1">
      <protection hidden="1"/>
    </xf>
    <xf numFmtId="2" fontId="9" fillId="4" borderId="64" xfId="0" applyNumberFormat="1" applyFont="1" applyFill="1" applyBorder="1" applyAlignment="1" applyProtection="1">
      <alignment horizontal="left"/>
      <protection hidden="1"/>
    </xf>
    <xf numFmtId="0" fontId="23" fillId="4" borderId="13" xfId="0" applyFont="1" applyFill="1" applyBorder="1" applyProtection="1">
      <protection hidden="1"/>
    </xf>
    <xf numFmtId="0" fontId="23" fillId="4" borderId="15" xfId="0" applyFont="1" applyFill="1" applyBorder="1" applyProtection="1">
      <protection hidden="1"/>
    </xf>
    <xf numFmtId="0" fontId="23" fillId="9" borderId="52" xfId="0" applyFont="1" applyFill="1" applyBorder="1" applyProtection="1">
      <protection hidden="1"/>
    </xf>
    <xf numFmtId="0" fontId="24" fillId="4" borderId="43" xfId="0" applyFont="1" applyFill="1" applyBorder="1" applyProtection="1">
      <protection hidden="1"/>
    </xf>
    <xf numFmtId="2" fontId="9" fillId="4" borderId="54" xfId="0" applyNumberFormat="1" applyFont="1" applyFill="1" applyBorder="1" applyAlignment="1" applyProtection="1">
      <alignment horizontal="left"/>
      <protection hidden="1"/>
    </xf>
    <xf numFmtId="0" fontId="24" fillId="4" borderId="15" xfId="0" applyFont="1" applyFill="1" applyBorder="1" applyProtection="1">
      <protection hidden="1"/>
    </xf>
    <xf numFmtId="1" fontId="24" fillId="9" borderId="30" xfId="0" applyNumberFormat="1" applyFont="1" applyFill="1" applyBorder="1" applyAlignment="1" applyProtection="1">
      <alignment horizontal="center"/>
      <protection hidden="1"/>
    </xf>
    <xf numFmtId="2" fontId="24" fillId="9" borderId="30" xfId="0" applyNumberFormat="1" applyFont="1" applyFill="1" applyBorder="1" applyAlignment="1" applyProtection="1">
      <alignment horizontal="center"/>
      <protection hidden="1"/>
    </xf>
    <xf numFmtId="2" fontId="24" fillId="4" borderId="65" xfId="0" applyNumberFormat="1" applyFont="1" applyFill="1" applyBorder="1" applyProtection="1">
      <protection hidden="1"/>
    </xf>
    <xf numFmtId="2" fontId="5" fillId="4" borderId="62" xfId="0" applyNumberFormat="1" applyFont="1" applyFill="1" applyBorder="1" applyAlignment="1" applyProtection="1">
      <alignment horizontal="center"/>
      <protection hidden="1"/>
    </xf>
    <xf numFmtId="1" fontId="24" fillId="9" borderId="34" xfId="0" applyNumberFormat="1" applyFont="1" applyFill="1" applyBorder="1" applyAlignment="1" applyProtection="1">
      <alignment horizontal="center"/>
      <protection hidden="1"/>
    </xf>
    <xf numFmtId="0" fontId="1" fillId="4" borderId="66" xfId="0" applyFont="1" applyFill="1" applyBorder="1" applyAlignment="1" applyProtection="1">
      <alignment horizontal="center"/>
      <protection hidden="1"/>
    </xf>
    <xf numFmtId="2" fontId="23" fillId="4" borderId="7" xfId="0" applyNumberFormat="1" applyFont="1" applyFill="1" applyBorder="1" applyProtection="1">
      <protection hidden="1"/>
    </xf>
    <xf numFmtId="2" fontId="24" fillId="4" borderId="9" xfId="0" applyNumberFormat="1" applyFont="1" applyFill="1" applyBorder="1" applyProtection="1">
      <protection hidden="1"/>
    </xf>
    <xf numFmtId="0" fontId="24" fillId="9" borderId="27" xfId="0" applyFont="1" applyFill="1" applyBorder="1" applyAlignment="1" applyProtection="1">
      <alignment horizontal="center"/>
      <protection hidden="1"/>
    </xf>
    <xf numFmtId="0" fontId="24" fillId="4" borderId="51" xfId="0" applyFont="1" applyFill="1" applyBorder="1" applyProtection="1">
      <protection hidden="1"/>
    </xf>
    <xf numFmtId="2" fontId="24" fillId="9" borderId="37" xfId="0" applyNumberFormat="1" applyFont="1" applyFill="1" applyBorder="1" applyAlignment="1" applyProtection="1">
      <alignment horizontal="center"/>
      <protection hidden="1"/>
    </xf>
    <xf numFmtId="0" fontId="16" fillId="3" borderId="2" xfId="0" applyFont="1" applyFill="1" applyBorder="1"/>
    <xf numFmtId="2" fontId="16" fillId="3" borderId="1" xfId="0" applyNumberFormat="1" applyFont="1" applyFill="1" applyBorder="1" applyAlignment="1">
      <alignment horizontal="center"/>
    </xf>
    <xf numFmtId="0" fontId="16" fillId="3" borderId="2" xfId="0" applyFont="1" applyFill="1" applyBorder="1" applyAlignment="1">
      <alignment horizontal="left"/>
    </xf>
    <xf numFmtId="2" fontId="16" fillId="3" borderId="3" xfId="0" applyNumberFormat="1" applyFont="1" applyFill="1" applyBorder="1" applyAlignment="1">
      <alignment horizontal="center"/>
    </xf>
    <xf numFmtId="2" fontId="36" fillId="5" borderId="10" xfId="0" applyNumberFormat="1" applyFont="1" applyFill="1" applyBorder="1" applyAlignment="1">
      <alignment horizontal="center"/>
    </xf>
    <xf numFmtId="2" fontId="36" fillId="5" borderId="44" xfId="0" applyNumberFormat="1" applyFont="1" applyFill="1" applyBorder="1" applyAlignment="1">
      <alignment horizontal="center"/>
    </xf>
    <xf numFmtId="2" fontId="36" fillId="5" borderId="45" xfId="0" applyNumberFormat="1" applyFont="1" applyFill="1" applyBorder="1" applyAlignment="1">
      <alignment horizontal="left"/>
    </xf>
    <xf numFmtId="2" fontId="6" fillId="6" borderId="40" xfId="0" applyNumberFormat="1" applyFont="1" applyFill="1" applyBorder="1" applyAlignment="1" applyProtection="1">
      <alignment horizontal="center"/>
      <protection hidden="1"/>
    </xf>
    <xf numFmtId="0" fontId="24" fillId="6" borderId="28" xfId="0" applyFont="1" applyFill="1" applyBorder="1" applyAlignment="1" applyProtection="1">
      <alignment horizontal="center"/>
      <protection hidden="1"/>
    </xf>
    <xf numFmtId="2" fontId="6" fillId="6" borderId="40" xfId="0" applyNumberFormat="1" applyFont="1" applyFill="1" applyBorder="1" applyAlignment="1" applyProtection="1">
      <alignment horizontal="left"/>
      <protection hidden="1"/>
    </xf>
    <xf numFmtId="0" fontId="24" fillId="6" borderId="27" xfId="0" applyFont="1" applyFill="1" applyBorder="1" applyAlignment="1" applyProtection="1">
      <alignment horizontal="left"/>
      <protection hidden="1"/>
    </xf>
    <xf numFmtId="1" fontId="19" fillId="4" borderId="18" xfId="0" applyNumberFormat="1" applyFont="1" applyFill="1" applyBorder="1" applyAlignment="1" applyProtection="1">
      <alignment horizontal="center"/>
      <protection locked="0"/>
    </xf>
    <xf numFmtId="1" fontId="19" fillId="5" borderId="19" xfId="0" applyNumberFormat="1" applyFont="1" applyFill="1" applyBorder="1" applyAlignment="1" applyProtection="1">
      <alignment horizontal="center"/>
      <protection locked="0"/>
    </xf>
    <xf numFmtId="2" fontId="18" fillId="5" borderId="19" xfId="0" applyNumberFormat="1" applyFont="1" applyFill="1" applyBorder="1" applyAlignment="1" applyProtection="1">
      <alignment horizontal="center"/>
      <protection locked="0"/>
    </xf>
    <xf numFmtId="2" fontId="18" fillId="4" borderId="20" xfId="0" applyNumberFormat="1" applyFont="1" applyFill="1" applyBorder="1" applyAlignment="1" applyProtection="1">
      <alignment horizontal="center"/>
      <protection locked="0"/>
    </xf>
    <xf numFmtId="0" fontId="24" fillId="9" borderId="43" xfId="0" applyFont="1" applyFill="1" applyBorder="1" applyProtection="1">
      <protection hidden="1"/>
    </xf>
    <xf numFmtId="0" fontId="24" fillId="9" borderId="0" xfId="0" applyFont="1" applyFill="1" applyProtection="1">
      <protection hidden="1"/>
    </xf>
    <xf numFmtId="0" fontId="24" fillId="4" borderId="42" xfId="0" applyFont="1" applyFill="1" applyBorder="1" applyProtection="1">
      <protection hidden="1"/>
    </xf>
    <xf numFmtId="1" fontId="19" fillId="4" borderId="13" xfId="0" applyNumberFormat="1" applyFont="1" applyFill="1" applyBorder="1" applyAlignment="1" applyProtection="1">
      <alignment horizontal="center"/>
      <protection locked="0"/>
    </xf>
    <xf numFmtId="1" fontId="19" fillId="5" borderId="14" xfId="0" applyNumberFormat="1" applyFont="1" applyFill="1" applyBorder="1" applyAlignment="1" applyProtection="1">
      <alignment horizontal="center"/>
      <protection locked="0"/>
    </xf>
    <xf numFmtId="2" fontId="18" fillId="4" borderId="15" xfId="0" applyNumberFormat="1" applyFont="1" applyFill="1" applyBorder="1" applyAlignment="1" applyProtection="1">
      <alignment horizontal="center"/>
      <protection locked="0"/>
    </xf>
    <xf numFmtId="2" fontId="24" fillId="9" borderId="58" xfId="0" applyNumberFormat="1" applyFont="1" applyFill="1" applyBorder="1" applyAlignment="1" applyProtection="1">
      <alignment horizontal="center"/>
      <protection hidden="1"/>
    </xf>
    <xf numFmtId="0" fontId="24" fillId="4" borderId="15" xfId="0" applyFont="1" applyFill="1" applyBorder="1" applyAlignment="1" applyProtection="1">
      <alignment horizontal="center"/>
      <protection hidden="1"/>
    </xf>
    <xf numFmtId="1" fontId="24" fillId="9" borderId="58" xfId="0" applyNumberFormat="1" applyFont="1" applyFill="1" applyBorder="1" applyAlignment="1" applyProtection="1">
      <alignment horizontal="center"/>
      <protection hidden="1"/>
    </xf>
    <xf numFmtId="0" fontId="24" fillId="4" borderId="65" xfId="0" applyFont="1" applyFill="1" applyBorder="1" applyProtection="1">
      <protection hidden="1"/>
    </xf>
    <xf numFmtId="0" fontId="24" fillId="4" borderId="62" xfId="0" applyFont="1" applyFill="1" applyBorder="1" applyProtection="1">
      <protection hidden="1"/>
    </xf>
    <xf numFmtId="2" fontId="24" fillId="9" borderId="67" xfId="0" applyNumberFormat="1" applyFont="1" applyFill="1" applyBorder="1" applyAlignment="1" applyProtection="1">
      <alignment horizontal="center"/>
      <protection hidden="1"/>
    </xf>
    <xf numFmtId="0" fontId="1" fillId="4" borderId="62" xfId="0" applyFont="1" applyFill="1" applyBorder="1" applyAlignment="1" applyProtection="1">
      <alignment horizontal="center"/>
      <protection hidden="1"/>
    </xf>
    <xf numFmtId="0" fontId="24" fillId="9" borderId="17" xfId="0" applyFont="1" applyFill="1" applyBorder="1" applyAlignment="1" applyProtection="1">
      <alignment horizontal="center"/>
      <protection hidden="1"/>
    </xf>
    <xf numFmtId="0" fontId="1" fillId="4" borderId="9" xfId="0" applyFont="1" applyFill="1" applyBorder="1" applyAlignment="1" applyProtection="1">
      <alignment horizontal="center"/>
      <protection hidden="1"/>
    </xf>
    <xf numFmtId="0" fontId="24" fillId="9" borderId="68" xfId="0" applyFont="1" applyFill="1" applyBorder="1" applyAlignment="1" applyProtection="1">
      <alignment horizontal="center"/>
      <protection hidden="1"/>
    </xf>
    <xf numFmtId="0" fontId="1" fillId="4" borderId="15" xfId="0" applyFont="1" applyFill="1" applyBorder="1" applyAlignment="1" applyProtection="1">
      <alignment horizontal="center"/>
      <protection hidden="1"/>
    </xf>
    <xf numFmtId="2" fontId="24" fillId="9" borderId="59" xfId="0" applyNumberFormat="1" applyFont="1" applyFill="1" applyBorder="1" applyAlignment="1" applyProtection="1">
      <alignment horizontal="center"/>
      <protection hidden="1"/>
    </xf>
    <xf numFmtId="1" fontId="19" fillId="4" borderId="32" xfId="0" applyNumberFormat="1" applyFont="1" applyFill="1" applyBorder="1" applyAlignment="1" applyProtection="1">
      <alignment horizontal="center"/>
      <protection locked="0"/>
    </xf>
    <xf numFmtId="1" fontId="19" fillId="5" borderId="50" xfId="0" applyNumberFormat="1" applyFont="1" applyFill="1" applyBorder="1" applyAlignment="1" applyProtection="1">
      <alignment horizontal="center"/>
      <protection locked="0"/>
    </xf>
    <xf numFmtId="2" fontId="18" fillId="4" borderId="51" xfId="0" applyNumberFormat="1" applyFont="1" applyFill="1" applyBorder="1" applyAlignment="1" applyProtection="1">
      <alignment horizontal="center"/>
      <protection locked="0"/>
    </xf>
    <xf numFmtId="2" fontId="24" fillId="6" borderId="2" xfId="0" applyNumberFormat="1" applyFont="1" applyFill="1" applyBorder="1" applyProtection="1">
      <protection hidden="1"/>
    </xf>
    <xf numFmtId="2" fontId="24" fillId="6" borderId="56" xfId="0" applyNumberFormat="1" applyFont="1" applyFill="1" applyBorder="1" applyProtection="1">
      <protection hidden="1"/>
    </xf>
    <xf numFmtId="2" fontId="24" fillId="9" borderId="27" xfId="0" applyNumberFormat="1" applyFont="1" applyFill="1" applyBorder="1" applyAlignment="1" applyProtection="1">
      <alignment horizontal="center"/>
      <protection hidden="1"/>
    </xf>
    <xf numFmtId="2" fontId="24" fillId="8" borderId="27" xfId="0" applyNumberFormat="1" applyFont="1" applyFill="1" applyBorder="1" applyAlignment="1" applyProtection="1">
      <alignment horizontal="center"/>
      <protection hidden="1"/>
    </xf>
    <xf numFmtId="2" fontId="24" fillId="9" borderId="68" xfId="0" applyNumberFormat="1" applyFont="1" applyFill="1" applyBorder="1" applyAlignment="1" applyProtection="1">
      <alignment horizontal="center"/>
      <protection hidden="1"/>
    </xf>
    <xf numFmtId="2" fontId="24" fillId="8" borderId="30" xfId="0" applyNumberFormat="1" applyFont="1" applyFill="1" applyBorder="1" applyAlignment="1" applyProtection="1">
      <alignment horizontal="center"/>
      <protection hidden="1"/>
    </xf>
    <xf numFmtId="1" fontId="18" fillId="4" borderId="7" xfId="0" applyNumberFormat="1" applyFont="1" applyFill="1" applyBorder="1" applyAlignment="1">
      <alignment horizontal="left"/>
    </xf>
    <xf numFmtId="2" fontId="18" fillId="5" borderId="26" xfId="0" applyNumberFormat="1" applyFont="1" applyFill="1" applyBorder="1" applyAlignment="1" applyProtection="1">
      <alignment horizontal="center"/>
      <protection locked="0"/>
    </xf>
    <xf numFmtId="0" fontId="20" fillId="4" borderId="9" xfId="0" applyFont="1" applyFill="1" applyBorder="1" applyAlignment="1">
      <alignment horizontal="center"/>
    </xf>
    <xf numFmtId="1" fontId="18" fillId="4" borderId="32" xfId="0" applyNumberFormat="1" applyFont="1" applyFill="1" applyBorder="1" applyAlignment="1">
      <alignment horizontal="left"/>
    </xf>
    <xf numFmtId="1" fontId="18" fillId="5" borderId="33" xfId="0" applyNumberFormat="1" applyFont="1" applyFill="1" applyBorder="1" applyAlignment="1" applyProtection="1">
      <alignment horizontal="center"/>
      <protection locked="0"/>
    </xf>
    <xf numFmtId="0" fontId="20" fillId="4" borderId="51" xfId="0" applyFont="1" applyFill="1" applyBorder="1" applyAlignment="1">
      <alignment horizontal="center"/>
    </xf>
    <xf numFmtId="1" fontId="18" fillId="0" borderId="0" xfId="0" applyNumberFormat="1" applyFont="1" applyAlignment="1">
      <alignment horizontal="left"/>
    </xf>
    <xf numFmtId="1" fontId="18" fillId="0" borderId="0" xfId="0" applyNumberFormat="1" applyFont="1" applyAlignment="1" applyProtection="1">
      <alignment horizontal="center"/>
      <protection locked="0"/>
    </xf>
    <xf numFmtId="0" fontId="20" fillId="0" borderId="0" xfId="0" applyFont="1" applyAlignment="1">
      <alignment horizontal="center"/>
    </xf>
    <xf numFmtId="1" fontId="0" fillId="9" borderId="52" xfId="0" applyNumberFormat="1" applyFill="1" applyBorder="1" applyAlignment="1" applyProtection="1">
      <alignment horizontal="center"/>
      <protection hidden="1"/>
    </xf>
    <xf numFmtId="2" fontId="24" fillId="4" borderId="15" xfId="0" applyNumberFormat="1" applyFont="1" applyFill="1" applyBorder="1" applyProtection="1">
      <protection hidden="1"/>
    </xf>
    <xf numFmtId="165" fontId="24" fillId="9" borderId="30" xfId="0" applyNumberFormat="1" applyFont="1" applyFill="1" applyBorder="1" applyAlignment="1" applyProtection="1">
      <alignment horizontal="center"/>
      <protection hidden="1"/>
    </xf>
    <xf numFmtId="165" fontId="24" fillId="9" borderId="58" xfId="0" applyNumberFormat="1" applyFont="1" applyFill="1" applyBorder="1" applyAlignment="1" applyProtection="1">
      <alignment horizontal="center"/>
      <protection hidden="1"/>
    </xf>
    <xf numFmtId="0" fontId="24" fillId="4" borderId="51" xfId="0" applyFont="1" applyFill="1" applyBorder="1" applyAlignment="1" applyProtection="1">
      <alignment horizontal="center"/>
      <protection hidden="1"/>
    </xf>
    <xf numFmtId="1" fontId="24" fillId="8" borderId="30" xfId="0" applyNumberFormat="1" applyFont="1" applyFill="1" applyBorder="1" applyAlignment="1" applyProtection="1">
      <alignment horizontal="center"/>
      <protection hidden="1"/>
    </xf>
    <xf numFmtId="0" fontId="0" fillId="4" borderId="38" xfId="0" applyFill="1" applyBorder="1" applyAlignment="1" applyProtection="1">
      <alignment horizontal="center"/>
      <protection hidden="1"/>
    </xf>
    <xf numFmtId="2" fontId="7" fillId="3" borderId="2" xfId="0" applyNumberFormat="1" applyFont="1" applyFill="1" applyBorder="1"/>
    <xf numFmtId="1" fontId="18" fillId="4" borderId="46" xfId="0" applyNumberFormat="1" applyFont="1" applyFill="1" applyBorder="1" applyAlignment="1">
      <alignment horizontal="left"/>
    </xf>
    <xf numFmtId="0" fontId="18" fillId="4" borderId="47" xfId="0" applyFont="1" applyFill="1" applyBorder="1"/>
    <xf numFmtId="1" fontId="18" fillId="5" borderId="56" xfId="0" applyNumberFormat="1" applyFont="1" applyFill="1" applyBorder="1" applyAlignment="1" applyProtection="1">
      <alignment horizontal="center"/>
      <protection locked="0"/>
    </xf>
    <xf numFmtId="0" fontId="32" fillId="4" borderId="48" xfId="0" applyFont="1" applyFill="1" applyBorder="1" applyAlignment="1">
      <alignment horizontal="center"/>
    </xf>
    <xf numFmtId="0" fontId="0" fillId="4" borderId="1" xfId="0" applyFill="1" applyBorder="1"/>
    <xf numFmtId="0" fontId="0" fillId="4" borderId="2" xfId="0" applyFill="1" applyBorder="1"/>
    <xf numFmtId="0" fontId="0" fillId="0" borderId="56" xfId="0" applyBorder="1" applyAlignment="1">
      <alignment horizontal="center"/>
    </xf>
    <xf numFmtId="0" fontId="0" fillId="4" borderId="3" xfId="0" applyFill="1" applyBorder="1" applyAlignment="1">
      <alignment horizontal="center"/>
    </xf>
    <xf numFmtId="1" fontId="24" fillId="9" borderId="37" xfId="0" applyNumberFormat="1" applyFont="1" applyFill="1" applyBorder="1" applyAlignment="1" applyProtection="1">
      <alignment horizontal="center"/>
      <protection hidden="1"/>
    </xf>
    <xf numFmtId="1" fontId="24" fillId="8" borderId="37" xfId="0" applyNumberFormat="1" applyFont="1" applyFill="1" applyBorder="1" applyAlignment="1" applyProtection="1">
      <alignment horizontal="center"/>
      <protection hidden="1"/>
    </xf>
    <xf numFmtId="1" fontId="24" fillId="9" borderId="59" xfId="0" applyNumberFormat="1" applyFont="1" applyFill="1" applyBorder="1" applyAlignment="1" applyProtection="1">
      <alignment horizontal="center"/>
      <protection hidden="1"/>
    </xf>
    <xf numFmtId="0" fontId="16" fillId="0" borderId="0" xfId="0" applyFont="1"/>
    <xf numFmtId="0" fontId="18" fillId="4" borderId="7" xfId="0" applyFont="1" applyFill="1" applyBorder="1"/>
    <xf numFmtId="0" fontId="18" fillId="5" borderId="8" xfId="0" applyFont="1" applyFill="1" applyBorder="1" applyAlignment="1" applyProtection="1">
      <alignment horizontal="center"/>
      <protection locked="0"/>
    </xf>
    <xf numFmtId="0" fontId="18" fillId="4" borderId="9" xfId="0" applyFont="1" applyFill="1" applyBorder="1"/>
    <xf numFmtId="2" fontId="18" fillId="4" borderId="13" xfId="0" applyNumberFormat="1" applyFont="1" applyFill="1" applyBorder="1"/>
    <xf numFmtId="1" fontId="18" fillId="5" borderId="14" xfId="0" applyNumberFormat="1" applyFont="1" applyFill="1" applyBorder="1" applyAlignment="1" applyProtection="1">
      <alignment horizontal="center"/>
      <protection locked="0"/>
    </xf>
    <xf numFmtId="0" fontId="18" fillId="4" borderId="15" xfId="0" applyFont="1" applyFill="1" applyBorder="1" applyAlignment="1">
      <alignment horizontal="center"/>
    </xf>
    <xf numFmtId="2" fontId="18" fillId="5" borderId="14" xfId="0" applyNumberFormat="1" applyFont="1" applyFill="1" applyBorder="1" applyAlignment="1" applyProtection="1">
      <alignment horizontal="center"/>
      <protection locked="0"/>
    </xf>
    <xf numFmtId="2" fontId="18" fillId="4" borderId="32" xfId="0" applyNumberFormat="1" applyFont="1" applyFill="1" applyBorder="1"/>
    <xf numFmtId="2" fontId="18" fillId="5" borderId="50" xfId="0" applyNumberFormat="1" applyFont="1" applyFill="1" applyBorder="1" applyAlignment="1" applyProtection="1">
      <alignment horizontal="center"/>
      <protection locked="0"/>
    </xf>
    <xf numFmtId="0" fontId="18" fillId="4" borderId="51" xfId="0" applyFont="1" applyFill="1" applyBorder="1" applyAlignment="1">
      <alignment horizontal="center"/>
    </xf>
    <xf numFmtId="2" fontId="18" fillId="4" borderId="18" xfId="0" applyNumberFormat="1" applyFont="1" applyFill="1" applyBorder="1"/>
    <xf numFmtId="0" fontId="18" fillId="4" borderId="19" xfId="0" applyFont="1" applyFill="1" applyBorder="1"/>
    <xf numFmtId="0" fontId="1" fillId="4" borderId="20" xfId="0" applyFont="1" applyFill="1" applyBorder="1" applyAlignment="1">
      <alignment horizontal="center"/>
    </xf>
    <xf numFmtId="0" fontId="18" fillId="4" borderId="13" xfId="0" applyFont="1" applyFill="1" applyBorder="1"/>
    <xf numFmtId="0" fontId="18" fillId="4" borderId="14" xfId="0" applyFont="1" applyFill="1" applyBorder="1"/>
    <xf numFmtId="0" fontId="18" fillId="5" borderId="14" xfId="0" applyFont="1" applyFill="1" applyBorder="1" applyAlignment="1" applyProtection="1">
      <alignment horizontal="center"/>
      <protection locked="0"/>
    </xf>
    <xf numFmtId="0" fontId="1" fillId="4" borderId="15" xfId="0" applyFont="1" applyFill="1" applyBorder="1" applyAlignment="1">
      <alignment horizontal="center"/>
    </xf>
    <xf numFmtId="0" fontId="18" fillId="4" borderId="32" xfId="0" applyFont="1" applyFill="1" applyBorder="1"/>
    <xf numFmtId="0" fontId="18" fillId="4" borderId="50" xfId="0" applyFont="1" applyFill="1" applyBorder="1"/>
    <xf numFmtId="0" fontId="18" fillId="5" borderId="50" xfId="0" applyFont="1" applyFill="1" applyBorder="1" applyAlignment="1" applyProtection="1">
      <alignment horizontal="center"/>
      <protection locked="0"/>
    </xf>
    <xf numFmtId="2" fontId="13" fillId="3" borderId="2" xfId="0" applyNumberFormat="1" applyFont="1" applyFill="1" applyBorder="1"/>
    <xf numFmtId="2" fontId="18" fillId="5" borderId="10" xfId="0" applyNumberFormat="1" applyFont="1" applyFill="1" applyBorder="1" applyAlignment="1">
      <alignment horizontal="left"/>
    </xf>
    <xf numFmtId="2" fontId="18" fillId="5" borderId="44" xfId="0" applyNumberFormat="1" applyFont="1" applyFill="1" applyBorder="1" applyAlignment="1">
      <alignment horizontal="center"/>
    </xf>
    <xf numFmtId="0" fontId="18" fillId="5" borderId="44" xfId="0" applyFont="1" applyFill="1" applyBorder="1" applyAlignment="1">
      <alignment horizontal="center"/>
    </xf>
    <xf numFmtId="0" fontId="18" fillId="5" borderId="45" xfId="0" applyFont="1" applyFill="1" applyBorder="1" applyAlignment="1">
      <alignment horizontal="center"/>
    </xf>
    <xf numFmtId="1" fontId="18" fillId="4" borderId="64" xfId="0" applyNumberFormat="1" applyFont="1" applyFill="1" applyBorder="1" applyAlignment="1" applyProtection="1">
      <alignment horizontal="center"/>
      <protection locked="0"/>
    </xf>
    <xf numFmtId="2" fontId="18" fillId="4" borderId="27" xfId="0" applyNumberFormat="1" applyFont="1" applyFill="1" applyBorder="1" applyAlignment="1" applyProtection="1">
      <alignment horizontal="left"/>
      <protection locked="0"/>
    </xf>
    <xf numFmtId="0" fontId="18" fillId="5" borderId="27" xfId="0" applyFont="1" applyFill="1" applyBorder="1" applyAlignment="1" applyProtection="1">
      <alignment horizontal="center"/>
      <protection locked="0"/>
    </xf>
    <xf numFmtId="0" fontId="18" fillId="5" borderId="39" xfId="0" applyFont="1" applyFill="1" applyBorder="1" applyAlignment="1" applyProtection="1">
      <alignment horizontal="center"/>
      <protection locked="0"/>
    </xf>
    <xf numFmtId="2" fontId="0" fillId="3" borderId="3" xfId="0" applyNumberFormat="1" applyFill="1" applyBorder="1" applyProtection="1">
      <protection hidden="1"/>
    </xf>
    <xf numFmtId="1" fontId="18" fillId="4" borderId="53" xfId="0" applyNumberFormat="1" applyFont="1" applyFill="1" applyBorder="1" applyAlignment="1" applyProtection="1">
      <alignment horizontal="center"/>
      <protection locked="0"/>
    </xf>
    <xf numFmtId="2" fontId="18" fillId="4" borderId="30" xfId="0" applyNumberFormat="1" applyFont="1" applyFill="1" applyBorder="1" applyProtection="1">
      <protection locked="0"/>
    </xf>
    <xf numFmtId="0" fontId="18" fillId="5" borderId="30" xfId="0" applyFont="1" applyFill="1" applyBorder="1" applyAlignment="1" applyProtection="1">
      <alignment horizontal="center"/>
      <protection locked="0"/>
    </xf>
    <xf numFmtId="0" fontId="18" fillId="5" borderId="31" xfId="0" applyFont="1" applyFill="1" applyBorder="1" applyAlignment="1" applyProtection="1">
      <alignment horizontal="center"/>
      <protection locked="0"/>
    </xf>
    <xf numFmtId="0" fontId="9" fillId="4" borderId="7" xfId="0" applyFont="1" applyFill="1" applyBorder="1" applyProtection="1">
      <protection hidden="1"/>
    </xf>
    <xf numFmtId="0" fontId="39" fillId="4" borderId="9" xfId="0" applyFont="1" applyFill="1" applyBorder="1" applyProtection="1">
      <protection hidden="1"/>
    </xf>
    <xf numFmtId="2" fontId="42" fillId="0" borderId="49" xfId="0" applyNumberFormat="1" applyFont="1" applyBorder="1" applyProtection="1">
      <protection hidden="1"/>
    </xf>
    <xf numFmtId="2" fontId="18" fillId="4" borderId="30" xfId="0" applyNumberFormat="1" applyFont="1" applyFill="1" applyBorder="1" applyAlignment="1" applyProtection="1">
      <alignment horizontal="left"/>
      <protection locked="0"/>
    </xf>
    <xf numFmtId="0" fontId="0" fillId="4" borderId="15" xfId="0" applyFill="1" applyBorder="1" applyProtection="1">
      <protection hidden="1"/>
    </xf>
    <xf numFmtId="1" fontId="0" fillId="8" borderId="27" xfId="0" applyNumberFormat="1" applyFill="1" applyBorder="1" applyAlignment="1" applyProtection="1">
      <alignment horizontal="center"/>
      <protection hidden="1"/>
    </xf>
    <xf numFmtId="2" fontId="1" fillId="4" borderId="28" xfId="0" applyNumberFormat="1" applyFont="1" applyFill="1" applyBorder="1" applyAlignment="1" applyProtection="1">
      <alignment horizontal="center"/>
      <protection hidden="1"/>
    </xf>
    <xf numFmtId="1" fontId="0" fillId="8" borderId="30" xfId="0" applyNumberFormat="1" applyFill="1" applyBorder="1" applyAlignment="1" applyProtection="1">
      <alignment horizontal="center"/>
      <protection hidden="1"/>
    </xf>
    <xf numFmtId="0" fontId="0" fillId="4" borderId="51" xfId="0" applyFill="1" applyBorder="1" applyProtection="1">
      <protection hidden="1"/>
    </xf>
    <xf numFmtId="1" fontId="0" fillId="8" borderId="37" xfId="0" applyNumberFormat="1" applyFill="1" applyBorder="1" applyAlignment="1" applyProtection="1">
      <alignment horizontal="center"/>
      <protection hidden="1"/>
    </xf>
    <xf numFmtId="1" fontId="18" fillId="4" borderId="54" xfId="0" applyNumberFormat="1" applyFont="1" applyFill="1" applyBorder="1" applyAlignment="1" applyProtection="1">
      <alignment horizontal="center"/>
      <protection locked="0"/>
    </xf>
    <xf numFmtId="2" fontId="18" fillId="4" borderId="37" xfId="0" applyNumberFormat="1" applyFont="1" applyFill="1" applyBorder="1" applyAlignment="1" applyProtection="1">
      <alignment horizontal="left"/>
      <protection locked="0"/>
    </xf>
    <xf numFmtId="0" fontId="18" fillId="5" borderId="37" xfId="0" applyFont="1" applyFill="1" applyBorder="1" applyAlignment="1" applyProtection="1">
      <alignment horizontal="center"/>
      <protection locked="0"/>
    </xf>
    <xf numFmtId="0" fontId="18" fillId="5" borderId="35" xfId="0" applyFont="1" applyFill="1" applyBorder="1" applyAlignment="1" applyProtection="1">
      <alignment horizontal="center"/>
      <protection locked="0"/>
    </xf>
    <xf numFmtId="2" fontId="42" fillId="0" borderId="27" xfId="0" applyNumberFormat="1" applyFont="1" applyBorder="1" applyAlignment="1" applyProtection="1">
      <alignment horizontal="center"/>
      <protection hidden="1"/>
    </xf>
    <xf numFmtId="1" fontId="0" fillId="8" borderId="42" xfId="0" applyNumberFormat="1" applyFill="1" applyBorder="1" applyAlignment="1" applyProtection="1">
      <alignment horizontal="center"/>
      <protection hidden="1"/>
    </xf>
    <xf numFmtId="2" fontId="1" fillId="4" borderId="39" xfId="0" applyNumberFormat="1" applyFont="1" applyFill="1" applyBorder="1" applyAlignment="1" applyProtection="1">
      <alignment horizontal="center"/>
      <protection hidden="1"/>
    </xf>
    <xf numFmtId="1" fontId="0" fillId="8" borderId="57" xfId="0" applyNumberFormat="1" applyFill="1" applyBorder="1" applyAlignment="1" applyProtection="1">
      <alignment horizontal="center"/>
      <protection hidden="1"/>
    </xf>
    <xf numFmtId="2" fontId="1" fillId="4" borderId="42" xfId="0" applyNumberFormat="1" applyFont="1" applyFill="1" applyBorder="1" applyAlignment="1" applyProtection="1">
      <alignment horizontal="center"/>
      <protection hidden="1"/>
    </xf>
    <xf numFmtId="2" fontId="16" fillId="3" borderId="16" xfId="0" applyNumberFormat="1" applyFont="1" applyFill="1" applyBorder="1"/>
    <xf numFmtId="2" fontId="16" fillId="3" borderId="6" xfId="0" applyNumberFormat="1" applyFont="1" applyFill="1" applyBorder="1"/>
    <xf numFmtId="1" fontId="0" fillId="8" borderId="58" xfId="0" applyNumberFormat="1" applyFill="1" applyBorder="1" applyAlignment="1" applyProtection="1">
      <alignment horizontal="center"/>
      <protection hidden="1"/>
    </xf>
    <xf numFmtId="2" fontId="34" fillId="5" borderId="1" xfId="0" applyNumberFormat="1" applyFont="1" applyFill="1" applyBorder="1"/>
    <xf numFmtId="2" fontId="34" fillId="5" borderId="6" xfId="0" applyNumberFormat="1" applyFont="1" applyFill="1" applyBorder="1"/>
    <xf numFmtId="1" fontId="0" fillId="8" borderId="59" xfId="0" applyNumberFormat="1" applyFill="1" applyBorder="1" applyAlignment="1" applyProtection="1">
      <alignment horizontal="center"/>
      <protection hidden="1"/>
    </xf>
    <xf numFmtId="2" fontId="1" fillId="4" borderId="37" xfId="0" applyNumberFormat="1" applyFont="1" applyFill="1" applyBorder="1" applyAlignment="1" applyProtection="1">
      <alignment horizontal="center"/>
      <protection hidden="1"/>
    </xf>
    <xf numFmtId="2" fontId="43" fillId="4" borderId="56" xfId="0" applyNumberFormat="1" applyFont="1" applyFill="1" applyBorder="1" applyAlignment="1">
      <alignment horizontal="center"/>
    </xf>
    <xf numFmtId="2" fontId="43" fillId="4" borderId="49" xfId="0" applyNumberFormat="1" applyFont="1" applyFill="1" applyBorder="1" applyAlignment="1">
      <alignment horizontal="center"/>
    </xf>
    <xf numFmtId="1" fontId="43" fillId="4" borderId="64" xfId="0" applyNumberFormat="1" applyFont="1" applyFill="1" applyBorder="1" applyAlignment="1">
      <alignment horizontal="center"/>
    </xf>
    <xf numFmtId="1" fontId="44" fillId="5" borderId="27" xfId="0" applyNumberFormat="1" applyFont="1" applyFill="1" applyBorder="1" applyAlignment="1" applyProtection="1">
      <alignment horizontal="center"/>
      <protection locked="0"/>
    </xf>
    <xf numFmtId="1" fontId="43" fillId="4" borderId="53" xfId="0" applyNumberFormat="1" applyFont="1" applyFill="1" applyBorder="1" applyAlignment="1">
      <alignment horizontal="center"/>
    </xf>
    <xf numFmtId="1" fontId="44" fillId="5" borderId="30" xfId="0" applyNumberFormat="1" applyFont="1" applyFill="1" applyBorder="1" applyAlignment="1" applyProtection="1">
      <alignment horizontal="center"/>
      <protection locked="0"/>
    </xf>
    <xf numFmtId="1" fontId="43" fillId="4" borderId="54" xfId="0" applyNumberFormat="1" applyFont="1" applyFill="1" applyBorder="1" applyAlignment="1">
      <alignment horizontal="center"/>
    </xf>
    <xf numFmtId="1" fontId="44" fillId="5" borderId="37" xfId="0" applyNumberFormat="1" applyFont="1" applyFill="1" applyBorder="1" applyAlignment="1" applyProtection="1">
      <alignment horizontal="center"/>
      <protection locked="0"/>
    </xf>
    <xf numFmtId="0" fontId="13" fillId="11" borderId="3" xfId="0" applyFont="1" applyFill="1" applyBorder="1" applyProtection="1">
      <protection hidden="1"/>
    </xf>
    <xf numFmtId="0" fontId="0" fillId="4" borderId="9" xfId="0" applyFill="1" applyBorder="1" applyProtection="1">
      <protection hidden="1"/>
    </xf>
    <xf numFmtId="0" fontId="39" fillId="4" borderId="13" xfId="0" applyFont="1" applyFill="1" applyBorder="1" applyProtection="1">
      <protection hidden="1"/>
    </xf>
    <xf numFmtId="0" fontId="0" fillId="9" borderId="32" xfId="0" applyFill="1" applyBorder="1" applyProtection="1">
      <protection hidden="1"/>
    </xf>
    <xf numFmtId="0" fontId="1" fillId="9" borderId="51" xfId="0" applyFont="1" applyFill="1" applyBorder="1" applyAlignment="1" applyProtection="1">
      <alignment horizontal="center"/>
      <protection hidden="1"/>
    </xf>
    <xf numFmtId="2" fontId="13" fillId="3" borderId="6" xfId="0" applyNumberFormat="1" applyFont="1" applyFill="1" applyBorder="1"/>
    <xf numFmtId="2" fontId="6" fillId="4" borderId="1" xfId="0" applyNumberFormat="1" applyFont="1" applyFill="1" applyBorder="1"/>
    <xf numFmtId="2" fontId="0" fillId="0" borderId="56" xfId="0" applyNumberFormat="1" applyBorder="1" applyAlignment="1">
      <alignment horizontal="center"/>
    </xf>
    <xf numFmtId="2" fontId="0" fillId="0" borderId="49" xfId="0" applyNumberFormat="1" applyBorder="1" applyAlignment="1">
      <alignment horizontal="center"/>
    </xf>
    <xf numFmtId="1" fontId="0" fillId="4" borderId="64" xfId="0" applyNumberFormat="1" applyFill="1" applyBorder="1" applyAlignment="1">
      <alignment horizontal="center"/>
    </xf>
    <xf numFmtId="1" fontId="0" fillId="0" borderId="27" xfId="0" applyNumberFormat="1" applyBorder="1" applyAlignment="1" applyProtection="1">
      <alignment horizontal="center"/>
      <protection locked="0"/>
    </xf>
    <xf numFmtId="1" fontId="0" fillId="4" borderId="54" xfId="0" applyNumberFormat="1" applyFill="1" applyBorder="1" applyAlignment="1">
      <alignment horizontal="center"/>
    </xf>
    <xf numFmtId="1" fontId="0" fillId="0" borderId="60" xfId="0" applyNumberFormat="1" applyBorder="1" applyAlignment="1" applyProtection="1">
      <alignment horizontal="center"/>
      <protection locked="0"/>
    </xf>
    <xf numFmtId="0" fontId="16" fillId="3" borderId="16" xfId="0" applyFont="1" applyFill="1" applyBorder="1" applyAlignment="1">
      <alignment horizontal="left"/>
    </xf>
    <xf numFmtId="0" fontId="18" fillId="4" borderId="8" xfId="0" applyFont="1" applyFill="1" applyBorder="1"/>
    <xf numFmtId="0" fontId="41" fillId="4" borderId="28" xfId="0" applyFont="1" applyFill="1" applyBorder="1" applyAlignment="1">
      <alignment horizontal="center"/>
    </xf>
    <xf numFmtId="0" fontId="41" fillId="4" borderId="31" xfId="0" applyFont="1" applyFill="1" applyBorder="1" applyAlignment="1">
      <alignment horizontal="center"/>
    </xf>
    <xf numFmtId="2" fontId="18" fillId="4" borderId="14" xfId="0" applyNumberFormat="1" applyFont="1" applyFill="1" applyBorder="1"/>
    <xf numFmtId="2" fontId="18" fillId="4" borderId="50" xfId="0" applyNumberFormat="1" applyFont="1" applyFill="1" applyBorder="1"/>
    <xf numFmtId="1" fontId="18" fillId="5" borderId="50" xfId="0" applyNumberFormat="1" applyFont="1" applyFill="1" applyBorder="1" applyAlignment="1" applyProtection="1">
      <alignment horizontal="center"/>
      <protection locked="0"/>
    </xf>
    <xf numFmtId="0" fontId="41" fillId="4" borderId="35" xfId="0" applyFont="1" applyFill="1" applyBorder="1" applyAlignment="1">
      <alignment horizontal="center"/>
    </xf>
    <xf numFmtId="0" fontId="13" fillId="11" borderId="16" xfId="0" applyFont="1" applyFill="1" applyBorder="1" applyProtection="1">
      <protection hidden="1"/>
    </xf>
    <xf numFmtId="2" fontId="21" fillId="11" borderId="17" xfId="0" applyNumberFormat="1" applyFont="1" applyFill="1" applyBorder="1" applyProtection="1">
      <protection hidden="1"/>
    </xf>
    <xf numFmtId="0" fontId="0" fillId="11" borderId="17" xfId="0" applyFill="1" applyBorder="1" applyProtection="1">
      <protection hidden="1"/>
    </xf>
    <xf numFmtId="0" fontId="13" fillId="11" borderId="6" xfId="0" applyFont="1" applyFill="1" applyBorder="1" applyProtection="1">
      <protection hidden="1"/>
    </xf>
    <xf numFmtId="2" fontId="1" fillId="4" borderId="51" xfId="0" applyNumberFormat="1" applyFont="1" applyFill="1" applyBorder="1" applyAlignment="1" applyProtection="1">
      <alignment horizontal="center"/>
      <protection hidden="1"/>
    </xf>
    <xf numFmtId="11" fontId="0" fillId="3" borderId="2" xfId="0" applyNumberFormat="1" applyFill="1" applyBorder="1" applyProtection="1">
      <protection hidden="1"/>
    </xf>
    <xf numFmtId="2" fontId="5" fillId="0" borderId="6" xfId="0" applyNumberFormat="1" applyFont="1" applyBorder="1" applyProtection="1">
      <protection hidden="1"/>
    </xf>
    <xf numFmtId="2" fontId="5" fillId="0" borderId="49" xfId="0" applyNumberFormat="1" applyFont="1" applyBorder="1" applyProtection="1">
      <protection hidden="1"/>
    </xf>
    <xf numFmtId="2" fontId="5" fillId="0" borderId="56" xfId="0" applyNumberFormat="1" applyFont="1" applyBorder="1" applyProtection="1">
      <protection hidden="1"/>
    </xf>
    <xf numFmtId="2" fontId="0" fillId="4" borderId="15" xfId="0" applyNumberFormat="1" applyFill="1" applyBorder="1" applyProtection="1">
      <protection hidden="1"/>
    </xf>
    <xf numFmtId="1" fontId="25" fillId="9" borderId="28" xfId="0" applyNumberFormat="1" applyFont="1" applyFill="1" applyBorder="1" applyAlignment="1" applyProtection="1">
      <alignment horizontal="center"/>
      <protection hidden="1"/>
    </xf>
    <xf numFmtId="1" fontId="25" fillId="8" borderId="27" xfId="0" applyNumberFormat="1" applyFont="1" applyFill="1" applyBorder="1" applyAlignment="1" applyProtection="1">
      <alignment horizontal="center"/>
      <protection hidden="1"/>
    </xf>
    <xf numFmtId="2" fontId="25" fillId="9" borderId="31" xfId="0" applyNumberFormat="1" applyFont="1" applyFill="1" applyBorder="1" applyAlignment="1" applyProtection="1">
      <alignment horizontal="center"/>
      <protection hidden="1"/>
    </xf>
    <xf numFmtId="2" fontId="25" fillId="8" borderId="30" xfId="0" applyNumberFormat="1" applyFont="1" applyFill="1" applyBorder="1" applyAlignment="1" applyProtection="1">
      <alignment horizontal="center"/>
      <protection hidden="1"/>
    </xf>
    <xf numFmtId="11" fontId="25" fillId="9" borderId="31" xfId="0" applyNumberFormat="1" applyFont="1" applyFill="1" applyBorder="1" applyAlignment="1" applyProtection="1">
      <alignment horizontal="center"/>
      <protection hidden="1"/>
    </xf>
    <xf numFmtId="11" fontId="25" fillId="8" borderId="30" xfId="0" applyNumberFormat="1" applyFont="1" applyFill="1" applyBorder="1" applyAlignment="1" applyProtection="1">
      <alignment horizontal="center"/>
      <protection hidden="1"/>
    </xf>
    <xf numFmtId="11" fontId="0" fillId="4" borderId="15" xfId="0" applyNumberFormat="1" applyFill="1" applyBorder="1" applyProtection="1">
      <protection hidden="1"/>
    </xf>
    <xf numFmtId="11" fontId="0" fillId="4" borderId="32" xfId="0" applyNumberFormat="1" applyFill="1" applyBorder="1" applyProtection="1">
      <protection hidden="1"/>
    </xf>
    <xf numFmtId="11" fontId="0" fillId="4" borderId="51" xfId="0" applyNumberFormat="1" applyFill="1" applyBorder="1" applyProtection="1">
      <protection hidden="1"/>
    </xf>
    <xf numFmtId="11" fontId="25" fillId="9" borderId="35" xfId="0" applyNumberFormat="1" applyFont="1" applyFill="1" applyBorder="1" applyAlignment="1" applyProtection="1">
      <alignment horizontal="center"/>
      <protection hidden="1"/>
    </xf>
    <xf numFmtId="11" fontId="25" fillId="8" borderId="37" xfId="0" applyNumberFormat="1" applyFont="1" applyFill="1" applyBorder="1" applyAlignment="1" applyProtection="1">
      <alignment horizontal="center"/>
      <protection hidden="1"/>
    </xf>
    <xf numFmtId="0" fontId="0" fillId="4" borderId="20" xfId="0" applyFill="1" applyBorder="1" applyProtection="1">
      <protection hidden="1"/>
    </xf>
    <xf numFmtId="1" fontId="25" fillId="8" borderId="57" xfId="0" applyNumberFormat="1" applyFont="1" applyFill="1" applyBorder="1" applyAlignment="1" applyProtection="1">
      <alignment horizontal="center"/>
      <protection hidden="1"/>
    </xf>
    <xf numFmtId="0" fontId="41" fillId="4" borderId="42" xfId="0" applyFont="1" applyFill="1" applyBorder="1" applyAlignment="1" applyProtection="1">
      <alignment horizontal="center"/>
      <protection hidden="1"/>
    </xf>
    <xf numFmtId="2" fontId="25" fillId="8" borderId="58" xfId="0" applyNumberFormat="1" applyFont="1" applyFill="1" applyBorder="1" applyAlignment="1" applyProtection="1">
      <alignment horizontal="center"/>
      <protection hidden="1"/>
    </xf>
    <xf numFmtId="11" fontId="25" fillId="8" borderId="58" xfId="0" applyNumberFormat="1" applyFont="1" applyFill="1" applyBorder="1" applyAlignment="1" applyProtection="1">
      <alignment horizontal="center"/>
      <protection hidden="1"/>
    </xf>
    <xf numFmtId="2" fontId="0" fillId="4" borderId="51" xfId="0" applyNumberFormat="1" applyFill="1" applyBorder="1" applyProtection="1">
      <protection hidden="1"/>
    </xf>
    <xf numFmtId="1" fontId="25" fillId="8" borderId="59" xfId="0" applyNumberFormat="1" applyFont="1" applyFill="1" applyBorder="1" applyAlignment="1" applyProtection="1">
      <alignment horizontal="center"/>
      <protection hidden="1"/>
    </xf>
    <xf numFmtId="2" fontId="0" fillId="4" borderId="7" xfId="0" applyNumberFormat="1" applyFill="1" applyBorder="1" applyProtection="1">
      <protection hidden="1"/>
    </xf>
    <xf numFmtId="2" fontId="0" fillId="4" borderId="8" xfId="0" applyNumberFormat="1" applyFill="1" applyBorder="1" applyProtection="1">
      <protection hidden="1"/>
    </xf>
    <xf numFmtId="2" fontId="5" fillId="4" borderId="9" xfId="0" applyNumberFormat="1" applyFont="1" applyFill="1" applyBorder="1" applyProtection="1">
      <protection hidden="1"/>
    </xf>
    <xf numFmtId="2" fontId="5" fillId="0" borderId="52" xfId="0" applyNumberFormat="1" applyFont="1" applyBorder="1" applyAlignment="1" applyProtection="1">
      <alignment horizontal="center"/>
      <protection hidden="1"/>
    </xf>
    <xf numFmtId="2" fontId="5" fillId="0" borderId="27" xfId="0" applyNumberFormat="1" applyFont="1" applyBorder="1" applyAlignment="1" applyProtection="1">
      <alignment horizontal="center"/>
      <protection hidden="1"/>
    </xf>
    <xf numFmtId="2" fontId="5" fillId="4" borderId="15" xfId="0" applyNumberFormat="1" applyFont="1" applyFill="1" applyBorder="1" applyProtection="1">
      <protection hidden="1"/>
    </xf>
    <xf numFmtId="2" fontId="0" fillId="9" borderId="31" xfId="0" applyNumberFormat="1" applyFill="1" applyBorder="1" applyAlignment="1" applyProtection="1">
      <alignment horizontal="center"/>
      <protection hidden="1"/>
    </xf>
    <xf numFmtId="2" fontId="0" fillId="12" borderId="30" xfId="0" applyNumberFormat="1" applyFill="1" applyBorder="1" applyAlignment="1" applyProtection="1">
      <alignment horizontal="center"/>
      <protection hidden="1"/>
    </xf>
    <xf numFmtId="2" fontId="0" fillId="8" borderId="30" xfId="0" applyNumberFormat="1" applyFill="1" applyBorder="1" applyAlignment="1" applyProtection="1">
      <alignment horizontal="center"/>
      <protection hidden="1"/>
    </xf>
    <xf numFmtId="2" fontId="5" fillId="4" borderId="15" xfId="0" applyNumberFormat="1" applyFont="1" applyFill="1" applyBorder="1" applyAlignment="1" applyProtection="1">
      <alignment horizontal="right"/>
      <protection hidden="1"/>
    </xf>
    <xf numFmtId="2" fontId="0" fillId="9" borderId="35" xfId="0" applyNumberFormat="1" applyFill="1" applyBorder="1" applyAlignment="1" applyProtection="1">
      <alignment horizontal="center"/>
      <protection hidden="1"/>
    </xf>
    <xf numFmtId="2" fontId="0" fillId="12" borderId="37" xfId="0" applyNumberFormat="1" applyFill="1" applyBorder="1" applyAlignment="1" applyProtection="1">
      <alignment horizontal="center"/>
      <protection hidden="1"/>
    </xf>
    <xf numFmtId="2" fontId="0" fillId="8" borderId="37" xfId="0" applyNumberFormat="1" applyFill="1" applyBorder="1" applyAlignment="1" applyProtection="1">
      <alignment horizontal="center"/>
      <protection hidden="1"/>
    </xf>
    <xf numFmtId="2" fontId="13" fillId="3" borderId="3" xfId="0" applyNumberFormat="1" applyFont="1" applyFill="1" applyBorder="1" applyProtection="1">
      <protection hidden="1"/>
    </xf>
    <xf numFmtId="0" fontId="0" fillId="4" borderId="26" xfId="0" applyFill="1" applyBorder="1" applyProtection="1">
      <protection hidden="1"/>
    </xf>
    <xf numFmtId="2" fontId="5" fillId="7" borderId="49" xfId="0" applyNumberFormat="1" applyFont="1" applyFill="1" applyBorder="1" applyProtection="1">
      <protection hidden="1"/>
    </xf>
    <xf numFmtId="2" fontId="5" fillId="7" borderId="49" xfId="0" applyNumberFormat="1" applyFont="1" applyFill="1" applyBorder="1" applyAlignment="1" applyProtection="1">
      <alignment horizontal="center"/>
      <protection hidden="1"/>
    </xf>
    <xf numFmtId="0" fontId="25" fillId="4" borderId="29" xfId="0" applyFont="1" applyFill="1" applyBorder="1" applyProtection="1">
      <protection hidden="1"/>
    </xf>
    <xf numFmtId="2" fontId="0" fillId="9" borderId="30" xfId="0" applyNumberFormat="1" applyFill="1" applyBorder="1" applyAlignment="1">
      <alignment horizontal="center"/>
    </xf>
    <xf numFmtId="2" fontId="25" fillId="8" borderId="42" xfId="0" applyNumberFormat="1" applyFont="1" applyFill="1" applyBorder="1" applyAlignment="1" applyProtection="1">
      <alignment horizontal="center"/>
      <protection hidden="1"/>
    </xf>
    <xf numFmtId="1" fontId="25" fillId="9" borderId="30" xfId="0" applyNumberFormat="1" applyFont="1" applyFill="1" applyBorder="1" applyAlignment="1" applyProtection="1">
      <alignment horizontal="center"/>
      <protection hidden="1"/>
    </xf>
    <xf numFmtId="0" fontId="25" fillId="4" borderId="33" xfId="0" applyFont="1" applyFill="1" applyBorder="1" applyProtection="1">
      <protection hidden="1"/>
    </xf>
    <xf numFmtId="2" fontId="25" fillId="9" borderId="37" xfId="0" applyNumberFormat="1" applyFont="1" applyFill="1" applyBorder="1" applyAlignment="1" applyProtection="1">
      <alignment horizontal="center"/>
      <protection hidden="1"/>
    </xf>
    <xf numFmtId="2" fontId="25" fillId="8" borderId="37" xfId="0" applyNumberFormat="1" applyFont="1" applyFill="1" applyBorder="1" applyAlignment="1" applyProtection="1">
      <alignment horizontal="center"/>
      <protection hidden="1"/>
    </xf>
    <xf numFmtId="2" fontId="0" fillId="4" borderId="4" xfId="0" applyNumberFormat="1" applyFill="1" applyBorder="1" applyProtection="1">
      <protection hidden="1"/>
    </xf>
    <xf numFmtId="2" fontId="0" fillId="4" borderId="5" xfId="0" applyNumberFormat="1" applyFill="1" applyBorder="1" applyProtection="1">
      <protection hidden="1"/>
    </xf>
    <xf numFmtId="0" fontId="0" fillId="4" borderId="36" xfId="0" applyFill="1" applyBorder="1" applyProtection="1">
      <protection hidden="1"/>
    </xf>
    <xf numFmtId="2" fontId="5" fillId="9" borderId="49" xfId="0" applyNumberFormat="1" applyFont="1" applyFill="1" applyBorder="1" applyProtection="1">
      <protection hidden="1"/>
    </xf>
    <xf numFmtId="2" fontId="5" fillId="9" borderId="49" xfId="0" applyNumberFormat="1" applyFont="1" applyFill="1" applyBorder="1" applyAlignment="1" applyProtection="1">
      <alignment horizontal="center"/>
      <protection hidden="1"/>
    </xf>
    <xf numFmtId="165" fontId="0" fillId="8" borderId="27" xfId="0" applyNumberFormat="1" applyFill="1" applyBorder="1" applyAlignment="1" applyProtection="1">
      <alignment horizontal="center"/>
      <protection hidden="1"/>
    </xf>
    <xf numFmtId="165" fontId="25" fillId="8" borderId="27" xfId="0" applyNumberFormat="1" applyFont="1" applyFill="1" applyBorder="1" applyAlignment="1" applyProtection="1">
      <alignment horizontal="center"/>
      <protection hidden="1"/>
    </xf>
    <xf numFmtId="165" fontId="0" fillId="8" borderId="30" xfId="0" applyNumberFormat="1" applyFill="1" applyBorder="1" applyAlignment="1" applyProtection="1">
      <alignment horizontal="center"/>
      <protection hidden="1"/>
    </xf>
    <xf numFmtId="0" fontId="0" fillId="4" borderId="33" xfId="0" applyFill="1" applyBorder="1" applyProtection="1">
      <protection hidden="1"/>
    </xf>
    <xf numFmtId="2" fontId="0" fillId="8" borderId="37" xfId="0" applyNumberFormat="1" applyFill="1" applyBorder="1" applyAlignment="1">
      <alignment horizontal="center"/>
    </xf>
    <xf numFmtId="166" fontId="0" fillId="0" borderId="0" xfId="0" applyNumberFormat="1" applyProtection="1">
      <protection hidden="1"/>
    </xf>
    <xf numFmtId="0" fontId="0" fillId="4" borderId="2" xfId="0" applyFill="1" applyBorder="1" applyProtection="1">
      <protection hidden="1"/>
    </xf>
    <xf numFmtId="2" fontId="0" fillId="0" borderId="3" xfId="0" applyNumberFormat="1" applyBorder="1" applyProtection="1">
      <protection hidden="1"/>
    </xf>
    <xf numFmtId="2" fontId="5" fillId="4" borderId="17" xfId="0" applyNumberFormat="1" applyFont="1" applyFill="1" applyBorder="1" applyProtection="1">
      <protection hidden="1"/>
    </xf>
    <xf numFmtId="2" fontId="5" fillId="4" borderId="0" xfId="0" applyNumberFormat="1" applyFont="1" applyFill="1" applyProtection="1">
      <protection hidden="1"/>
    </xf>
    <xf numFmtId="2" fontId="1" fillId="4" borderId="15" xfId="0" applyNumberFormat="1" applyFont="1" applyFill="1" applyBorder="1" applyAlignment="1" applyProtection="1">
      <alignment horizontal="center"/>
      <protection hidden="1"/>
    </xf>
    <xf numFmtId="2" fontId="5" fillId="4" borderId="0" xfId="0" applyNumberFormat="1" applyFont="1" applyFill="1" applyAlignment="1" applyProtection="1">
      <alignment horizontal="right"/>
      <protection hidden="1"/>
    </xf>
    <xf numFmtId="2" fontId="0" fillId="4" borderId="47" xfId="0" applyNumberFormat="1" applyFill="1" applyBorder="1" applyProtection="1">
      <protection hidden="1"/>
    </xf>
    <xf numFmtId="0" fontId="0" fillId="4" borderId="17" xfId="0" applyFill="1" applyBorder="1" applyProtection="1">
      <protection hidden="1"/>
    </xf>
    <xf numFmtId="2" fontId="13" fillId="3" borderId="6" xfId="0" applyNumberFormat="1" applyFont="1" applyFill="1" applyBorder="1" applyProtection="1">
      <protection hidden="1"/>
    </xf>
    <xf numFmtId="2" fontId="0" fillId="4" borderId="20" xfId="0" applyNumberFormat="1" applyFill="1" applyBorder="1" applyProtection="1">
      <protection hidden="1"/>
    </xf>
    <xf numFmtId="11" fontId="5" fillId="4" borderId="47" xfId="0" applyNumberFormat="1" applyFont="1" applyFill="1" applyBorder="1" applyProtection="1">
      <protection hidden="1"/>
    </xf>
    <xf numFmtId="0" fontId="0" fillId="4" borderId="51" xfId="0" applyFill="1" applyBorder="1" applyAlignment="1" applyProtection="1">
      <alignment horizontal="center"/>
      <protection hidden="1"/>
    </xf>
    <xf numFmtId="0" fontId="1" fillId="4" borderId="20" xfId="0" applyFont="1" applyFill="1" applyBorder="1" applyAlignment="1" applyProtection="1">
      <alignment horizontal="center"/>
      <protection hidden="1"/>
    </xf>
    <xf numFmtId="2" fontId="0" fillId="4" borderId="28" xfId="0" applyNumberFormat="1" applyFill="1" applyBorder="1" applyProtection="1">
      <protection hidden="1"/>
    </xf>
    <xf numFmtId="2" fontId="0" fillId="4" borderId="35" xfId="0" applyNumberFormat="1" applyFill="1" applyBorder="1" applyAlignment="1" applyProtection="1">
      <alignment horizontal="center"/>
      <protection hidden="1"/>
    </xf>
    <xf numFmtId="0" fontId="0" fillId="0" borderId="9" xfId="0" applyBorder="1" applyProtection="1">
      <protection hidden="1"/>
    </xf>
    <xf numFmtId="0" fontId="0" fillId="0" borderId="15" xfId="0" applyBorder="1" applyProtection="1">
      <protection hidden="1"/>
    </xf>
    <xf numFmtId="2" fontId="25" fillId="0" borderId="50" xfId="0" applyNumberFormat="1" applyFont="1" applyBorder="1" applyAlignment="1" applyProtection="1">
      <alignment horizontal="center"/>
      <protection hidden="1"/>
    </xf>
    <xf numFmtId="2" fontId="0" fillId="0" borderId="51" xfId="0" applyNumberFormat="1" applyBorder="1" applyProtection="1">
      <protection hidden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0D0D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D9D9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jpeg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png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51651216685979"/>
          <c:y val="9.1363022941970295E-2"/>
          <c:w val="0.82329084588644297"/>
          <c:h val="0.706477732793522"/>
        </c:manualLayout>
      </c:layout>
      <c:scatterChart>
        <c:scatterStyle val="lineMarker"/>
        <c:varyColors val="0"/>
        <c:ser>
          <c:idx val="0"/>
          <c:order val="0"/>
          <c:spPr>
            <a:ln w="0">
              <a:solidFill>
                <a:srgbClr val="000080"/>
              </a:solidFill>
            </a:ln>
          </c:spPr>
          <c:marker>
            <c:symbol val="diamond"/>
            <c:size val="3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6"/>
                <c:pt idx="0">
                  <c:v>1021.92</c:v>
                </c:pt>
                <c:pt idx="1">
                  <c:v>510.96</c:v>
                </c:pt>
                <c:pt idx="2">
                  <c:v>340.64</c:v>
                </c:pt>
                <c:pt idx="3">
                  <c:v>170.32</c:v>
                </c:pt>
                <c:pt idx="4">
                  <c:v>10.219200000000001</c:v>
                </c:pt>
                <c:pt idx="5">
                  <c:v>5.1096000000000004</c:v>
                </c:pt>
              </c:numCache>
            </c:numRef>
          </c:xVal>
          <c:yVal>
            <c:numRef>
              <c:f>1</c:f>
              <c:numCache>
                <c:formatCode>General</c:formatCode>
                <c:ptCount val="6"/>
                <c:pt idx="0">
                  <c:v>237.688697988326</c:v>
                </c:pt>
                <c:pt idx="1">
                  <c:v>143.51015727596999</c:v>
                </c:pt>
                <c:pt idx="2">
                  <c:v>112.117310371852</c:v>
                </c:pt>
                <c:pt idx="3">
                  <c:v>76.239771052859197</c:v>
                </c:pt>
                <c:pt idx="4">
                  <c:v>31.3928469041185</c:v>
                </c:pt>
                <c:pt idx="5">
                  <c:v>26.908154489244399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1</c15:sqref>
                        </c15:formulaRef>
                      </c:ext>
                    </c:extLst>
                    <c:strCache>
                      <c:ptCount val="1"/>
                      <c:pt idx="0">
                        <c:v>Actual data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AC57-44D9-8DA8-0807633CA708}"/>
            </c:ext>
          </c:extLst>
        </c:ser>
        <c:ser>
          <c:idx val="1"/>
          <c:order val="1"/>
          <c:spPr>
            <a:ln w="0">
              <a:solidFill>
                <a:srgbClr val="FF00FF"/>
              </a:solidFill>
            </a:ln>
          </c:spPr>
          <c:marker>
            <c:symbol val="square"/>
            <c:size val="3"/>
            <c:spPr>
              <a:solidFill>
                <a:srgbClr val="FF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6"/>
                <c:pt idx="0">
                  <c:v>1021.92</c:v>
                </c:pt>
                <c:pt idx="1">
                  <c:v>510.96</c:v>
                </c:pt>
                <c:pt idx="2">
                  <c:v>340.64</c:v>
                </c:pt>
                <c:pt idx="3">
                  <c:v>170.32</c:v>
                </c:pt>
                <c:pt idx="4">
                  <c:v>10.219200000000001</c:v>
                </c:pt>
                <c:pt idx="5">
                  <c:v>5.1096000000000004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6"/>
                <c:pt idx="0">
                  <c:v>214.606387950813</c:v>
                </c:pt>
                <c:pt idx="1">
                  <c:v>143.51015727596999</c:v>
                </c:pt>
                <c:pt idx="2">
                  <c:v>114.741515487138</c:v>
                </c:pt>
                <c:pt idx="3">
                  <c:v>80.329168336582399</c:v>
                </c:pt>
                <c:pt idx="4">
                  <c:v>30.303414338348201</c:v>
                </c:pt>
                <c:pt idx="5">
                  <c:v>26.908154489244399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2</c15:sqref>
                        </c15:formulaRef>
                      </c:ext>
                    </c:extLst>
                    <c:strCache>
                      <c:ptCount val="1"/>
                      <c:pt idx="0">
                        <c:v>Herschel-Bulkley model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AC57-44D9-8DA8-0807633CA7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25454"/>
        <c:axId val="66517140"/>
      </c:scatterChart>
      <c:valAx>
        <c:axId val="19725454"/>
        <c:scaling>
          <c:orientation val="minMax"/>
          <c:min val="0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lang="en-GB" sz="100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Shear rate (1/sec)</a:t>
                </a:r>
              </a:p>
            </c:rich>
          </c:tx>
          <c:layout>
            <c:manualLayout>
              <c:xMode val="edge"/>
              <c:yMode val="edge"/>
              <c:x val="0.45995075318655898"/>
              <c:y val="0.90067476383265899"/>
            </c:manualLayout>
          </c:layout>
          <c:overlay val="0"/>
          <c:spPr>
            <a:noFill/>
            <a:ln w="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000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66517140"/>
        <c:crosses val="autoZero"/>
        <c:crossBetween val="midCat"/>
      </c:valAx>
      <c:valAx>
        <c:axId val="66517140"/>
        <c:scaling>
          <c:orientation val="minMax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lang="en-GB" sz="100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Shear stress (dyne/cm^2)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000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19725454"/>
        <c:crosses val="autoZero"/>
        <c:crossBetween val="midCat"/>
      </c:valAx>
      <c:spPr>
        <a:solidFill>
          <a:srgbClr val="FFFFCC"/>
        </a:solidFill>
        <a:ln w="12600">
          <a:solidFill>
            <a:srgbClr val="808080"/>
          </a:solidFill>
          <a:round/>
        </a:ln>
      </c:spPr>
    </c:plotArea>
    <c:legend>
      <c:legendPos val="r"/>
      <c:layout>
        <c:manualLayout>
          <c:xMode val="edge"/>
          <c:yMode val="edge"/>
          <c:x val="0.23298088064889899"/>
          <c:y val="7.4763832658569507E-2"/>
          <c:w val="0.59527775765915802"/>
          <c:h val="6.1816709407477403E-2"/>
        </c:manualLayout>
      </c:layout>
      <c:overlay val="0"/>
      <c:spPr>
        <a:solidFill>
          <a:srgbClr val="FFFFFF"/>
        </a:solidFill>
        <a:ln w="0">
          <a:solidFill>
            <a:srgbClr val="000000"/>
          </a:solidFill>
        </a:ln>
      </c:spPr>
      <c:txPr>
        <a:bodyPr/>
        <a:lstStyle/>
        <a:p>
          <a:pPr>
            <a:defRPr sz="1000" b="1" u="none" strike="noStrike">
              <a:solidFill>
                <a:srgbClr val="000000"/>
              </a:solidFill>
              <a:uFillTx/>
              <a:latin typeface="Times New Roman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8080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7821645499724"/>
          <c:y val="8.3250461713311602E-2"/>
          <c:w val="0.841454997239094"/>
          <c:h val="0.738741298479898"/>
        </c:manualLayout>
      </c:layout>
      <c:scatterChart>
        <c:scatterStyle val="lineMarker"/>
        <c:varyColors val="0"/>
        <c:ser>
          <c:idx val="0"/>
          <c:order val="0"/>
          <c:spPr>
            <a:ln w="0">
              <a:solidFill>
                <a:srgbClr val="000080"/>
              </a:solidFill>
            </a:ln>
          </c:spPr>
          <c:marker>
            <c:symbol val="diamond"/>
            <c:size val="3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5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  <c:pt idx="7">
                  <c:v>35</c:v>
                </c:pt>
                <c:pt idx="8">
                  <c:v>45</c:v>
                </c:pt>
                <c:pt idx="9">
                  <c:v>55</c:v>
                </c:pt>
                <c:pt idx="10">
                  <c:v>65</c:v>
                </c:pt>
                <c:pt idx="11">
                  <c:v>75</c:v>
                </c:pt>
                <c:pt idx="12">
                  <c:v>85</c:v>
                </c:pt>
                <c:pt idx="13">
                  <c:v>95</c:v>
                </c:pt>
                <c:pt idx="14">
                  <c:v>105</c:v>
                </c:pt>
                <c:pt idx="15">
                  <c:v>115</c:v>
                </c:pt>
                <c:pt idx="16">
                  <c:v>125</c:v>
                </c:pt>
                <c:pt idx="17">
                  <c:v>135</c:v>
                </c:pt>
                <c:pt idx="18">
                  <c:v>145</c:v>
                </c:pt>
                <c:pt idx="19">
                  <c:v>155</c:v>
                </c:pt>
                <c:pt idx="20">
                  <c:v>165</c:v>
                </c:pt>
                <c:pt idx="21">
                  <c:v>175</c:v>
                </c:pt>
                <c:pt idx="22">
                  <c:v>185</c:v>
                </c:pt>
                <c:pt idx="23">
                  <c:v>195</c:v>
                </c:pt>
                <c:pt idx="24">
                  <c:v>205</c:v>
                </c:pt>
                <c:pt idx="25">
                  <c:v>215</c:v>
                </c:pt>
                <c:pt idx="26">
                  <c:v>225</c:v>
                </c:pt>
                <c:pt idx="27">
                  <c:v>255</c:v>
                </c:pt>
                <c:pt idx="28">
                  <c:v>285</c:v>
                </c:pt>
                <c:pt idx="29">
                  <c:v>385</c:v>
                </c:pt>
                <c:pt idx="30">
                  <c:v>485</c:v>
                </c:pt>
                <c:pt idx="31">
                  <c:v>585</c:v>
                </c:pt>
                <c:pt idx="32">
                  <c:v>685</c:v>
                </c:pt>
                <c:pt idx="33">
                  <c:v>785</c:v>
                </c:pt>
                <c:pt idx="34">
                  <c:v>885</c:v>
                </c:pt>
                <c:pt idx="35">
                  <c:v>985</c:v>
                </c:pt>
                <c:pt idx="36">
                  <c:v>1085</c:v>
                </c:pt>
                <c:pt idx="37">
                  <c:v>1185</c:v>
                </c:pt>
                <c:pt idx="38">
                  <c:v>1285</c:v>
                </c:pt>
                <c:pt idx="39">
                  <c:v>1385</c:v>
                </c:pt>
                <c:pt idx="40">
                  <c:v>1485</c:v>
                </c:pt>
                <c:pt idx="41">
                  <c:v>1585</c:v>
                </c:pt>
                <c:pt idx="42">
                  <c:v>1685</c:v>
                </c:pt>
                <c:pt idx="43">
                  <c:v>1785</c:v>
                </c:pt>
                <c:pt idx="44">
                  <c:v>1885</c:v>
                </c:pt>
                <c:pt idx="45">
                  <c:v>1985</c:v>
                </c:pt>
                <c:pt idx="46">
                  <c:v>2085</c:v>
                </c:pt>
                <c:pt idx="47">
                  <c:v>2585</c:v>
                </c:pt>
                <c:pt idx="48">
                  <c:v>2785</c:v>
                </c:pt>
                <c:pt idx="49">
                  <c:v>2985</c:v>
                </c:pt>
                <c:pt idx="50">
                  <c:v>3185</c:v>
                </c:pt>
                <c:pt idx="51">
                  <c:v>3385</c:v>
                </c:pt>
                <c:pt idx="52">
                  <c:v>3585</c:v>
                </c:pt>
                <c:pt idx="53">
                  <c:v>3420</c:v>
                </c:pt>
              </c:numCache>
            </c:numRef>
          </c:xVal>
          <c:yVal>
            <c:numRef>
              <c:f>1</c:f>
              <c:numCache>
                <c:formatCode>General</c:formatCode>
                <c:ptCount val="54"/>
                <c:pt idx="0">
                  <c:v>0</c:v>
                </c:pt>
                <c:pt idx="1">
                  <c:v>0.119069863238148</c:v>
                </c:pt>
                <c:pt idx="2">
                  <c:v>0.21346756435067901</c:v>
                </c:pt>
                <c:pt idx="3">
                  <c:v>0.43086500840110098</c:v>
                </c:pt>
                <c:pt idx="4">
                  <c:v>0.69719515061272397</c:v>
                </c:pt>
                <c:pt idx="5">
                  <c:v>1.0887580040261899</c:v>
                </c:pt>
                <c:pt idx="6">
                  <c:v>1.3944861390128001</c:v>
                </c:pt>
                <c:pt idx="7">
                  <c:v>1.5287741579615399</c:v>
                </c:pt>
                <c:pt idx="8">
                  <c:v>1.7719929927350999</c:v>
                </c:pt>
                <c:pt idx="9">
                  <c:v>1.99005505954413</c:v>
                </c:pt>
                <c:pt idx="10">
                  <c:v>2.18945224319621</c:v>
                </c:pt>
                <c:pt idx="11">
                  <c:v>2.3742877683769801</c:v>
                </c:pt>
                <c:pt idx="12">
                  <c:v>2.5473509654295099</c:v>
                </c:pt>
                <c:pt idx="13">
                  <c:v>2.71064023674171</c:v>
                </c:pt>
                <c:pt idx="14">
                  <c:v>2.8656454150476298</c:v>
                </c:pt>
                <c:pt idx="15">
                  <c:v>3.01351239203948</c:v>
                </c:pt>
                <c:pt idx="16">
                  <c:v>3.1551449740198101</c:v>
                </c:pt>
                <c:pt idx="17">
                  <c:v>3.2912709539854901</c:v>
                </c:pt>
                <c:pt idx="18">
                  <c:v>3.4224866616785601</c:v>
                </c:pt>
                <c:pt idx="19">
                  <c:v>3.5492879861250701</c:v>
                </c:pt>
                <c:pt idx="20">
                  <c:v>3.6720925760360701</c:v>
                </c:pt>
                <c:pt idx="21">
                  <c:v>3.79125610341625</c:v>
                </c:pt>
                <c:pt idx="22">
                  <c:v>3.9070844226609198</c:v>
                </c:pt>
                <c:pt idx="23">
                  <c:v>4.0198428243930104</c:v>
                </c:pt>
                <c:pt idx="24">
                  <c:v>4.1297631899523202</c:v>
                </c:pt>
                <c:pt idx="25">
                  <c:v>4.2370496008576799</c:v>
                </c:pt>
                <c:pt idx="26">
                  <c:v>4.3418827924665999</c:v>
                </c:pt>
                <c:pt idx="27">
                  <c:v>4.6431907386544902</c:v>
                </c:pt>
                <c:pt idx="28">
                  <c:v>4.9273197189333002</c:v>
                </c:pt>
                <c:pt idx="29">
                  <c:v>5.7800121872259398</c:v>
                </c:pt>
                <c:pt idx="30">
                  <c:v>6.5277722691602298</c:v>
                </c:pt>
                <c:pt idx="31">
                  <c:v>7.2018396420294302</c:v>
                </c:pt>
                <c:pt idx="32">
                  <c:v>7.8204763424713697</c:v>
                </c:pt>
                <c:pt idx="33">
                  <c:v>8.3954550377094002</c:v>
                </c:pt>
                <c:pt idx="34">
                  <c:v>8.9348910232078005</c:v>
                </c:pt>
                <c:pt idx="35">
                  <c:v>9.4446592495249106</c:v>
                </c:pt>
                <c:pt idx="36">
                  <c:v>9.92917504419386</c:v>
                </c:pt>
                <c:pt idx="37">
                  <c:v>10.3918563845478</c:v>
                </c:pt>
                <c:pt idx="38">
                  <c:v>10.835413408013499</c:v>
                </c:pt>
                <c:pt idx="39">
                  <c:v>11.2620380748822</c:v>
                </c:pt>
                <c:pt idx="40">
                  <c:v>11.673533100201601</c:v>
                </c:pt>
                <c:pt idx="41">
                  <c:v>12.0714023557302</c:v>
                </c:pt>
                <c:pt idx="42">
                  <c:v>12.437916315226801</c:v>
                </c:pt>
                <c:pt idx="43">
                  <c:v>12.8311581184932</c:v>
                </c:pt>
                <c:pt idx="44">
                  <c:v>13.1950632567623</c:v>
                </c:pt>
                <c:pt idx="45">
                  <c:v>13.5494433616396</c:v>
                </c:pt>
                <c:pt idx="46">
                  <c:v>13.895009385721799</c:v>
                </c:pt>
                <c:pt idx="47">
                  <c:v>15.5102920477647</c:v>
                </c:pt>
                <c:pt idx="48">
                  <c:v>16.112083384038499</c:v>
                </c:pt>
                <c:pt idx="49">
                  <c:v>16.692636693156501</c:v>
                </c:pt>
                <c:pt idx="50">
                  <c:v>17.2540534270703</c:v>
                </c:pt>
                <c:pt idx="51">
                  <c:v>17.798109772049902</c:v>
                </c:pt>
                <c:pt idx="52">
                  <c:v>18.326323050570199</c:v>
                </c:pt>
                <c:pt idx="53">
                  <c:v>17.891651320117401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1</c15:sqref>
                        </c15:formulaRef>
                      </c:ext>
                    </c:extLst>
                    <c:strCache>
                      <c:ptCount val="1"/>
                      <c:pt idx="0">
                        <c:v>Column BZ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A0A8-4727-BC9F-77833F2FD5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67131"/>
        <c:axId val="37135024"/>
      </c:scatterChart>
      <c:valAx>
        <c:axId val="68267131"/>
        <c:scaling>
          <c:orientation val="minMax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925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Time (min)</a:t>
                </a:r>
              </a:p>
            </c:rich>
          </c:tx>
          <c:layout>
            <c:manualLayout>
              <c:xMode val="edge"/>
              <c:yMode val="edge"/>
              <c:x val="0.467628382109332"/>
              <c:y val="0.89899133399630604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925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37135024"/>
        <c:crosses val="autoZero"/>
        <c:crossBetween val="midCat"/>
      </c:valAx>
      <c:valAx>
        <c:axId val="37135024"/>
        <c:scaling>
          <c:orientation val="minMax"/>
          <c:max val="30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925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Fluid loss (cc)</a:t>
                </a:r>
              </a:p>
            </c:rich>
          </c:tx>
          <c:layout>
            <c:manualLayout>
              <c:xMode val="edge"/>
              <c:yMode val="edge"/>
              <c:x val="1.30452788514633E-2"/>
              <c:y val="3.1822702088364803E-2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925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68267131"/>
        <c:crosses val="autoZero"/>
        <c:crossBetween val="midCat"/>
      </c:valAx>
      <c:spPr>
        <a:gradFill>
          <a:gsLst>
            <a:gs pos="0">
              <a:srgbClr val="CCFFFF"/>
            </a:gs>
            <a:gs pos="100000">
              <a:srgbClr val="FFFFCC"/>
            </a:gs>
          </a:gsLst>
          <a:lin ang="5400000"/>
        </a:gradFill>
        <a:ln w="12600">
          <a:solidFill>
            <a:srgbClr val="808080"/>
          </a:solidFill>
          <a:round/>
        </a:ln>
      </c:spPr>
    </c:plotArea>
    <c:plotVisOnly val="1"/>
    <c:dispBlanksAs val="gap"/>
    <c:showDLblsOverMax val="1"/>
  </c:chart>
  <c:spPr>
    <a:solidFill>
      <a:srgbClr val="FF8080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9.7779877184695302E-2"/>
          <c:y val="6.5717415115005506E-2"/>
          <c:w val="0.87974897091571602"/>
          <c:h val="0.75766703176341699"/>
        </c:manualLayout>
      </c:layout>
      <c:scatterChart>
        <c:scatterStyle val="lineMarker"/>
        <c:varyColors val="0"/>
        <c:ser>
          <c:idx val="0"/>
          <c:order val="0"/>
          <c:spPr>
            <a:ln w="0">
              <a:solidFill>
                <a:srgbClr val="000080"/>
              </a:solidFill>
            </a:ln>
          </c:spPr>
          <c:marker>
            <c:symbol val="diamond"/>
            <c:size val="3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  <c:pt idx="7">
                  <c:v>35</c:v>
                </c:pt>
                <c:pt idx="8">
                  <c:v>45</c:v>
                </c:pt>
                <c:pt idx="9">
                  <c:v>55</c:v>
                </c:pt>
                <c:pt idx="10">
                  <c:v>65</c:v>
                </c:pt>
                <c:pt idx="11">
                  <c:v>75</c:v>
                </c:pt>
                <c:pt idx="12">
                  <c:v>85</c:v>
                </c:pt>
                <c:pt idx="13">
                  <c:v>95</c:v>
                </c:pt>
                <c:pt idx="14">
                  <c:v>105</c:v>
                </c:pt>
                <c:pt idx="15">
                  <c:v>115</c:v>
                </c:pt>
                <c:pt idx="16">
                  <c:v>125</c:v>
                </c:pt>
                <c:pt idx="17">
                  <c:v>135</c:v>
                </c:pt>
                <c:pt idx="18">
                  <c:v>145</c:v>
                </c:pt>
                <c:pt idx="19">
                  <c:v>155</c:v>
                </c:pt>
                <c:pt idx="20">
                  <c:v>165</c:v>
                </c:pt>
                <c:pt idx="21">
                  <c:v>175</c:v>
                </c:pt>
                <c:pt idx="22">
                  <c:v>185</c:v>
                </c:pt>
                <c:pt idx="23">
                  <c:v>195</c:v>
                </c:pt>
                <c:pt idx="24">
                  <c:v>205</c:v>
                </c:pt>
                <c:pt idx="25">
                  <c:v>215</c:v>
                </c:pt>
                <c:pt idx="26">
                  <c:v>225</c:v>
                </c:pt>
                <c:pt idx="27">
                  <c:v>255</c:v>
                </c:pt>
                <c:pt idx="28">
                  <c:v>285</c:v>
                </c:pt>
                <c:pt idx="29">
                  <c:v>385</c:v>
                </c:pt>
                <c:pt idx="30">
                  <c:v>485</c:v>
                </c:pt>
                <c:pt idx="31">
                  <c:v>585</c:v>
                </c:pt>
                <c:pt idx="32">
                  <c:v>685</c:v>
                </c:pt>
                <c:pt idx="33">
                  <c:v>785</c:v>
                </c:pt>
                <c:pt idx="34">
                  <c:v>885</c:v>
                </c:pt>
                <c:pt idx="35">
                  <c:v>985</c:v>
                </c:pt>
                <c:pt idx="36">
                  <c:v>1085</c:v>
                </c:pt>
                <c:pt idx="37">
                  <c:v>1185</c:v>
                </c:pt>
                <c:pt idx="38">
                  <c:v>1285</c:v>
                </c:pt>
                <c:pt idx="39">
                  <c:v>1385</c:v>
                </c:pt>
                <c:pt idx="40">
                  <c:v>1485</c:v>
                </c:pt>
                <c:pt idx="41">
                  <c:v>1585</c:v>
                </c:pt>
                <c:pt idx="42">
                  <c:v>1685</c:v>
                </c:pt>
                <c:pt idx="43">
                  <c:v>1785</c:v>
                </c:pt>
                <c:pt idx="44">
                  <c:v>1885</c:v>
                </c:pt>
                <c:pt idx="45">
                  <c:v>1985</c:v>
                </c:pt>
                <c:pt idx="46">
                  <c:v>2085</c:v>
                </c:pt>
                <c:pt idx="47">
                  <c:v>2585</c:v>
                </c:pt>
                <c:pt idx="48">
                  <c:v>2785</c:v>
                </c:pt>
                <c:pt idx="49">
                  <c:v>2985</c:v>
                </c:pt>
                <c:pt idx="50">
                  <c:v>3185</c:v>
                </c:pt>
                <c:pt idx="51">
                  <c:v>3385</c:v>
                </c:pt>
                <c:pt idx="52">
                  <c:v>3585</c:v>
                </c:pt>
                <c:pt idx="53">
                  <c:v>3420</c:v>
                </c:pt>
                <c:pt idx="54">
                  <c:v>3420</c:v>
                </c:pt>
                <c:pt idx="55">
                  <c:v>3420</c:v>
                </c:pt>
              </c:numCache>
            </c:numRef>
          </c:xVal>
          <c:yVal>
            <c:numRef>
              <c:f>1</c:f>
              <c:numCache>
                <c:formatCode>General</c:formatCode>
                <c:ptCount val="56"/>
                <c:pt idx="0">
                  <c:v>0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1</c15:sqref>
                        </c15:formulaRef>
                      </c:ext>
                    </c:extLst>
                    <c:strCache>
                      <c:ptCount val="1"/>
                      <c:pt idx="0">
                        <c:v>Dynamic Filtration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6E90-42DC-8A38-BC85C5A589A9}"/>
            </c:ext>
          </c:extLst>
        </c:ser>
        <c:ser>
          <c:idx val="1"/>
          <c:order val="1"/>
          <c:spPr>
            <a:ln w="0">
              <a:solidFill>
                <a:srgbClr val="FF00FF"/>
              </a:solidFill>
            </a:ln>
          </c:spPr>
          <c:marker>
            <c:symbol val="square"/>
            <c:size val="3"/>
            <c:spPr>
              <a:solidFill>
                <a:srgbClr val="FF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2</c:f>
              <c:numCache>
                <c:formatCode>General</c:formatCode>
                <c:ptCount val="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  <c:pt idx="7">
                  <c:v>35</c:v>
                </c:pt>
                <c:pt idx="8">
                  <c:v>45</c:v>
                </c:pt>
                <c:pt idx="9">
                  <c:v>55</c:v>
                </c:pt>
                <c:pt idx="10">
                  <c:v>65</c:v>
                </c:pt>
                <c:pt idx="11">
                  <c:v>75</c:v>
                </c:pt>
                <c:pt idx="12">
                  <c:v>85</c:v>
                </c:pt>
                <c:pt idx="13">
                  <c:v>95</c:v>
                </c:pt>
                <c:pt idx="14">
                  <c:v>105</c:v>
                </c:pt>
                <c:pt idx="15">
                  <c:v>115</c:v>
                </c:pt>
                <c:pt idx="16">
                  <c:v>125</c:v>
                </c:pt>
                <c:pt idx="17">
                  <c:v>135</c:v>
                </c:pt>
                <c:pt idx="18">
                  <c:v>145</c:v>
                </c:pt>
                <c:pt idx="19">
                  <c:v>155</c:v>
                </c:pt>
                <c:pt idx="20">
                  <c:v>165</c:v>
                </c:pt>
                <c:pt idx="21">
                  <c:v>175</c:v>
                </c:pt>
                <c:pt idx="22">
                  <c:v>185</c:v>
                </c:pt>
                <c:pt idx="23">
                  <c:v>195</c:v>
                </c:pt>
                <c:pt idx="24">
                  <c:v>205</c:v>
                </c:pt>
                <c:pt idx="25">
                  <c:v>215</c:v>
                </c:pt>
                <c:pt idx="26">
                  <c:v>225</c:v>
                </c:pt>
                <c:pt idx="27">
                  <c:v>255</c:v>
                </c:pt>
                <c:pt idx="28">
                  <c:v>285</c:v>
                </c:pt>
                <c:pt idx="29">
                  <c:v>385</c:v>
                </c:pt>
                <c:pt idx="30">
                  <c:v>485</c:v>
                </c:pt>
                <c:pt idx="31">
                  <c:v>585</c:v>
                </c:pt>
                <c:pt idx="32">
                  <c:v>685</c:v>
                </c:pt>
                <c:pt idx="33">
                  <c:v>785</c:v>
                </c:pt>
                <c:pt idx="34">
                  <c:v>885</c:v>
                </c:pt>
                <c:pt idx="35">
                  <c:v>985</c:v>
                </c:pt>
                <c:pt idx="36">
                  <c:v>1085</c:v>
                </c:pt>
                <c:pt idx="37">
                  <c:v>1185</c:v>
                </c:pt>
                <c:pt idx="38">
                  <c:v>1285</c:v>
                </c:pt>
                <c:pt idx="39">
                  <c:v>1385</c:v>
                </c:pt>
                <c:pt idx="40">
                  <c:v>1485</c:v>
                </c:pt>
                <c:pt idx="41">
                  <c:v>1585</c:v>
                </c:pt>
                <c:pt idx="42">
                  <c:v>1685</c:v>
                </c:pt>
              </c:numCache>
            </c:numRef>
          </c:xVal>
          <c:yVal>
            <c:numRef>
              <c:f>3</c:f>
              <c:numCache>
                <c:formatCode>General</c:formatCode>
                <c:ptCount val="56"/>
                <c:pt idx="0">
                  <c:v>0</c:v>
                </c:pt>
                <c:pt idx="1">
                  <c:v>0.119069863238148</c:v>
                </c:pt>
                <c:pt idx="2">
                  <c:v>0.21346756435067901</c:v>
                </c:pt>
                <c:pt idx="3">
                  <c:v>0.43086500840110098</c:v>
                </c:pt>
                <c:pt idx="4">
                  <c:v>0.69719515061272397</c:v>
                </c:pt>
                <c:pt idx="5">
                  <c:v>1.0887580040261899</c:v>
                </c:pt>
                <c:pt idx="6">
                  <c:v>1.3944861390128001</c:v>
                </c:pt>
                <c:pt idx="7">
                  <c:v>1.5287741579615399</c:v>
                </c:pt>
                <c:pt idx="8">
                  <c:v>1.7719929927350999</c:v>
                </c:pt>
                <c:pt idx="9">
                  <c:v>1.99005505954413</c:v>
                </c:pt>
                <c:pt idx="10">
                  <c:v>2.18945224319621</c:v>
                </c:pt>
                <c:pt idx="11">
                  <c:v>2.3742877683769801</c:v>
                </c:pt>
                <c:pt idx="12">
                  <c:v>2.5473509654295099</c:v>
                </c:pt>
                <c:pt idx="13">
                  <c:v>2.71064023674171</c:v>
                </c:pt>
                <c:pt idx="14">
                  <c:v>2.8656454150476298</c:v>
                </c:pt>
                <c:pt idx="15">
                  <c:v>3.01351239203948</c:v>
                </c:pt>
                <c:pt idx="16">
                  <c:v>3.1551449740198101</c:v>
                </c:pt>
                <c:pt idx="17">
                  <c:v>3.2912709539854901</c:v>
                </c:pt>
                <c:pt idx="18">
                  <c:v>3.4224866616785601</c:v>
                </c:pt>
                <c:pt idx="19">
                  <c:v>3.5492879861250701</c:v>
                </c:pt>
                <c:pt idx="20">
                  <c:v>3.6720925760360701</c:v>
                </c:pt>
                <c:pt idx="21">
                  <c:v>3.79125610341625</c:v>
                </c:pt>
                <c:pt idx="22">
                  <c:v>3.9070844226609198</c:v>
                </c:pt>
                <c:pt idx="23">
                  <c:v>4.0198428243930104</c:v>
                </c:pt>
                <c:pt idx="24">
                  <c:v>4.1297631899523202</c:v>
                </c:pt>
                <c:pt idx="25">
                  <c:v>4.2370496008576799</c:v>
                </c:pt>
                <c:pt idx="26">
                  <c:v>4.3418827924665999</c:v>
                </c:pt>
                <c:pt idx="27">
                  <c:v>4.6431907386544902</c:v>
                </c:pt>
                <c:pt idx="28">
                  <c:v>4.9273197189333002</c:v>
                </c:pt>
                <c:pt idx="29">
                  <c:v>5.7800121872259398</c:v>
                </c:pt>
                <c:pt idx="30">
                  <c:v>6.5277722691602298</c:v>
                </c:pt>
                <c:pt idx="31">
                  <c:v>7.2018396420294302</c:v>
                </c:pt>
                <c:pt idx="32">
                  <c:v>7.8204763424713697</c:v>
                </c:pt>
                <c:pt idx="33">
                  <c:v>8.3954550377094002</c:v>
                </c:pt>
                <c:pt idx="34">
                  <c:v>8.9348910232078005</c:v>
                </c:pt>
                <c:pt idx="35">
                  <c:v>9.4446592495249106</c:v>
                </c:pt>
                <c:pt idx="36">
                  <c:v>9.92917504419386</c:v>
                </c:pt>
                <c:pt idx="37">
                  <c:v>10.3918563845478</c:v>
                </c:pt>
                <c:pt idx="38">
                  <c:v>10.835413408013499</c:v>
                </c:pt>
                <c:pt idx="39">
                  <c:v>11.2620380748822</c:v>
                </c:pt>
                <c:pt idx="40">
                  <c:v>11.673533100201601</c:v>
                </c:pt>
                <c:pt idx="41">
                  <c:v>12.0714023557302</c:v>
                </c:pt>
                <c:pt idx="42">
                  <c:v>12.437916315226801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3</c15:sqref>
                        </c15:formulaRef>
                      </c:ext>
                    </c:extLst>
                    <c:strCache>
                      <c:ptCount val="1"/>
                      <c:pt idx="0">
                        <c:v>Static Filtration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6E90-42DC-8A38-BC85C5A58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740761"/>
        <c:axId val="87676340"/>
      </c:scatterChart>
      <c:valAx>
        <c:axId val="39740761"/>
        <c:scaling>
          <c:orientation val="minMax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825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Time (min)</a:t>
                </a:r>
              </a:p>
            </c:rich>
          </c:tx>
          <c:layout>
            <c:manualLayout>
              <c:xMode val="edge"/>
              <c:yMode val="edge"/>
              <c:x val="0.468520143059586"/>
              <c:y val="0.90607886089813805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25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87676340"/>
        <c:crosses val="autoZero"/>
        <c:crossBetween val="midCat"/>
      </c:valAx>
      <c:valAx>
        <c:axId val="87676340"/>
        <c:scaling>
          <c:orientation val="minMax"/>
          <c:max val="30"/>
          <c:min val="0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825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Filtration Volume (cc)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25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39740761"/>
        <c:crosses val="autoZero"/>
        <c:crossBetween val="midCat"/>
        <c:majorUnit val="4"/>
      </c:valAx>
      <c:spPr>
        <a:gradFill>
          <a:gsLst>
            <a:gs pos="0">
              <a:srgbClr val="FFFFFF"/>
            </a:gs>
            <a:gs pos="100000">
              <a:srgbClr val="FFFFCC"/>
            </a:gs>
          </a:gsLst>
          <a:lin ang="5400000"/>
        </a:gradFill>
        <a:ln w="12600">
          <a:solidFill>
            <a:srgbClr val="808080"/>
          </a:solidFill>
          <a:round/>
        </a:ln>
      </c:spPr>
    </c:plotArea>
    <c:legend>
      <c:legendPos val="r"/>
      <c:layout>
        <c:manualLayout>
          <c:xMode val="edge"/>
          <c:yMode val="edge"/>
          <c:x val="0.183480666711654"/>
          <c:y val="2.5054764512595799E-2"/>
          <c:w val="0.62606289647725699"/>
          <c:h val="6.2713953169930198E-2"/>
        </c:manualLayout>
      </c:layout>
      <c:overlay val="0"/>
      <c:spPr>
        <a:solidFill>
          <a:srgbClr val="FFFFFF"/>
        </a:solidFill>
        <a:ln w="0">
          <a:solidFill>
            <a:srgbClr val="000000"/>
          </a:solidFill>
        </a:ln>
      </c:spPr>
      <c:txPr>
        <a:bodyPr/>
        <a:lstStyle/>
        <a:p>
          <a:pPr>
            <a:defRPr sz="1000" b="1" u="none" strike="noStrike">
              <a:solidFill>
                <a:srgbClr val="000000"/>
              </a:solidFill>
              <a:uFillTx/>
              <a:latin typeface="Times New Roman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8080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6231813378851"/>
          <c:y val="8.0521361332367897E-2"/>
          <c:w val="0.83491831260668103"/>
          <c:h val="0.71513396089790005"/>
        </c:manualLayout>
      </c:layout>
      <c:scatterChart>
        <c:scatterStyle val="lineMarker"/>
        <c:varyColors val="0"/>
        <c:ser>
          <c:idx val="0"/>
          <c:order val="0"/>
          <c:spPr>
            <a:ln w="0">
              <a:solidFill>
                <a:srgbClr val="000080"/>
              </a:solidFill>
            </a:ln>
          </c:spPr>
          <c:marker>
            <c:symbol val="diamond"/>
            <c:size val="5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5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  <c:pt idx="7">
                  <c:v>35</c:v>
                </c:pt>
                <c:pt idx="8">
                  <c:v>45</c:v>
                </c:pt>
                <c:pt idx="9">
                  <c:v>55</c:v>
                </c:pt>
                <c:pt idx="10">
                  <c:v>65</c:v>
                </c:pt>
                <c:pt idx="11">
                  <c:v>75</c:v>
                </c:pt>
                <c:pt idx="12">
                  <c:v>85</c:v>
                </c:pt>
                <c:pt idx="13">
                  <c:v>95</c:v>
                </c:pt>
                <c:pt idx="14">
                  <c:v>105</c:v>
                </c:pt>
                <c:pt idx="15">
                  <c:v>115</c:v>
                </c:pt>
                <c:pt idx="16">
                  <c:v>125</c:v>
                </c:pt>
                <c:pt idx="17">
                  <c:v>135</c:v>
                </c:pt>
                <c:pt idx="18">
                  <c:v>145</c:v>
                </c:pt>
                <c:pt idx="19">
                  <c:v>155</c:v>
                </c:pt>
                <c:pt idx="20">
                  <c:v>165</c:v>
                </c:pt>
                <c:pt idx="21">
                  <c:v>175</c:v>
                </c:pt>
                <c:pt idx="22">
                  <c:v>185</c:v>
                </c:pt>
                <c:pt idx="23">
                  <c:v>195</c:v>
                </c:pt>
                <c:pt idx="24">
                  <c:v>205</c:v>
                </c:pt>
                <c:pt idx="25">
                  <c:v>215</c:v>
                </c:pt>
                <c:pt idx="26">
                  <c:v>225</c:v>
                </c:pt>
                <c:pt idx="27">
                  <c:v>255</c:v>
                </c:pt>
                <c:pt idx="28">
                  <c:v>285</c:v>
                </c:pt>
                <c:pt idx="29">
                  <c:v>385</c:v>
                </c:pt>
                <c:pt idx="30">
                  <c:v>485</c:v>
                </c:pt>
                <c:pt idx="31">
                  <c:v>585</c:v>
                </c:pt>
                <c:pt idx="32">
                  <c:v>685</c:v>
                </c:pt>
                <c:pt idx="33">
                  <c:v>785</c:v>
                </c:pt>
                <c:pt idx="34">
                  <c:v>885</c:v>
                </c:pt>
                <c:pt idx="35">
                  <c:v>985</c:v>
                </c:pt>
                <c:pt idx="36">
                  <c:v>1085</c:v>
                </c:pt>
                <c:pt idx="37">
                  <c:v>1185</c:v>
                </c:pt>
                <c:pt idx="38">
                  <c:v>1285</c:v>
                </c:pt>
                <c:pt idx="39">
                  <c:v>1385</c:v>
                </c:pt>
                <c:pt idx="40">
                  <c:v>1485</c:v>
                </c:pt>
                <c:pt idx="41">
                  <c:v>1585</c:v>
                </c:pt>
                <c:pt idx="42">
                  <c:v>1685</c:v>
                </c:pt>
                <c:pt idx="43">
                  <c:v>1785</c:v>
                </c:pt>
                <c:pt idx="44">
                  <c:v>1885</c:v>
                </c:pt>
                <c:pt idx="45">
                  <c:v>1985</c:v>
                </c:pt>
                <c:pt idx="46">
                  <c:v>2085</c:v>
                </c:pt>
                <c:pt idx="47">
                  <c:v>2585</c:v>
                </c:pt>
                <c:pt idx="48">
                  <c:v>2785</c:v>
                </c:pt>
                <c:pt idx="49">
                  <c:v>2985</c:v>
                </c:pt>
                <c:pt idx="50">
                  <c:v>3185</c:v>
                </c:pt>
                <c:pt idx="51">
                  <c:v>3385</c:v>
                </c:pt>
                <c:pt idx="52">
                  <c:v>3585</c:v>
                </c:pt>
                <c:pt idx="53">
                  <c:v>3420</c:v>
                </c:pt>
                <c:pt idx="54">
                  <c:v>3420</c:v>
                </c:pt>
              </c:numCache>
            </c:numRef>
          </c:xVal>
          <c:yVal>
            <c:numRef>
              <c:f>1</c:f>
              <c:numCache>
                <c:formatCode>General</c:formatCode>
                <c:ptCount val="55"/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1</c15:sqref>
                        </c15:formulaRef>
                      </c:ext>
                    </c:extLst>
                    <c:strCache>
                      <c:ptCount val="1"/>
                      <c:pt idx="0">
                        <c:v>Column DW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88A5-44B9-8DBB-3244A5A70E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883552"/>
        <c:axId val="5693479"/>
      </c:scatterChart>
      <c:valAx>
        <c:axId val="7788355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800" b="1" u="none" strike="noStrike">
                    <a:solidFill>
                      <a:srgbClr val="000000"/>
                    </a:solidFill>
                    <a:uFillTx/>
                    <a:latin typeface="Arial"/>
                  </a:rPr>
                  <a:t>Drilling Time (min)</a:t>
                </a:r>
              </a:p>
            </c:rich>
          </c:tx>
          <c:layout>
            <c:manualLayout>
              <c:xMode val="edge"/>
              <c:yMode val="edge"/>
              <c:x val="0.39998374380232499"/>
              <c:y val="0.89703113685735003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00" b="1" u="none" strike="noStrike">
                <a:solidFill>
                  <a:srgbClr val="000000"/>
                </a:solidFill>
                <a:uFillTx/>
                <a:latin typeface="Arial"/>
              </a:defRPr>
            </a:pPr>
            <a:endParaRPr lang="en-US"/>
          </a:p>
        </c:txPr>
        <c:crossAx val="5693479"/>
        <c:crosses val="autoZero"/>
        <c:crossBetween val="midCat"/>
        <c:majorUnit val="500"/>
      </c:valAx>
      <c:valAx>
        <c:axId val="5693479"/>
        <c:scaling>
          <c:orientation val="minMax"/>
          <c:max val="7"/>
          <c:min val="0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800" b="1" u="none" strike="noStrike">
                    <a:solidFill>
                      <a:srgbClr val="000000"/>
                    </a:solidFill>
                    <a:uFillTx/>
                    <a:latin typeface="Arial"/>
                  </a:rPr>
                  <a:t>Skin Factor</a:t>
                </a:r>
              </a:p>
            </c:rich>
          </c:tx>
          <c:layout>
            <c:manualLayout>
              <c:xMode val="edge"/>
              <c:yMode val="edge"/>
              <c:x val="1.0729090465740099E-2"/>
              <c:y val="7.6031860970311393E-2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00" b="1" u="none" strike="noStrike">
                <a:solidFill>
                  <a:srgbClr val="000000"/>
                </a:solidFill>
                <a:uFillTx/>
                <a:latin typeface="Arial"/>
              </a:defRPr>
            </a:pPr>
            <a:endParaRPr lang="en-US"/>
          </a:p>
        </c:txPr>
        <c:crossAx val="77883552"/>
        <c:crosses val="autoZero"/>
        <c:crossBetween val="midCat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plotVisOnly val="1"/>
    <c:dispBlanksAs val="gap"/>
    <c:showDLblsOverMax val="1"/>
  </c:chart>
  <c:spPr>
    <a:solidFill>
      <a:srgbClr val="FF99CC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2348570505572599"/>
          <c:y val="9.1625328275459605E-2"/>
          <c:w val="0.82498788564044601"/>
          <c:h val="0.75386635541289804"/>
        </c:manualLayout>
      </c:layout>
      <c:scatterChart>
        <c:scatterStyle val="lineMarker"/>
        <c:varyColors val="0"/>
        <c:ser>
          <c:idx val="0"/>
          <c:order val="0"/>
          <c:spPr>
            <a:ln w="0">
              <a:solidFill>
                <a:srgbClr val="000080"/>
              </a:solidFill>
            </a:ln>
          </c:spPr>
          <c:marker>
            <c:symbol val="diamond"/>
            <c:size val="3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5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  <c:pt idx="7">
                  <c:v>35</c:v>
                </c:pt>
                <c:pt idx="8">
                  <c:v>45</c:v>
                </c:pt>
                <c:pt idx="9">
                  <c:v>55</c:v>
                </c:pt>
                <c:pt idx="10">
                  <c:v>65</c:v>
                </c:pt>
                <c:pt idx="11">
                  <c:v>75</c:v>
                </c:pt>
                <c:pt idx="12">
                  <c:v>85</c:v>
                </c:pt>
                <c:pt idx="13">
                  <c:v>95</c:v>
                </c:pt>
                <c:pt idx="14">
                  <c:v>105</c:v>
                </c:pt>
                <c:pt idx="15">
                  <c:v>115</c:v>
                </c:pt>
                <c:pt idx="16">
                  <c:v>125</c:v>
                </c:pt>
                <c:pt idx="17">
                  <c:v>135</c:v>
                </c:pt>
                <c:pt idx="18">
                  <c:v>145</c:v>
                </c:pt>
                <c:pt idx="19">
                  <c:v>155</c:v>
                </c:pt>
                <c:pt idx="20">
                  <c:v>165</c:v>
                </c:pt>
                <c:pt idx="21">
                  <c:v>175</c:v>
                </c:pt>
                <c:pt idx="22">
                  <c:v>185</c:v>
                </c:pt>
                <c:pt idx="23">
                  <c:v>195</c:v>
                </c:pt>
                <c:pt idx="24">
                  <c:v>205</c:v>
                </c:pt>
                <c:pt idx="25">
                  <c:v>215</c:v>
                </c:pt>
                <c:pt idx="26">
                  <c:v>225</c:v>
                </c:pt>
                <c:pt idx="27">
                  <c:v>255</c:v>
                </c:pt>
                <c:pt idx="28">
                  <c:v>285</c:v>
                </c:pt>
                <c:pt idx="29">
                  <c:v>385</c:v>
                </c:pt>
                <c:pt idx="30">
                  <c:v>485</c:v>
                </c:pt>
                <c:pt idx="31">
                  <c:v>585</c:v>
                </c:pt>
                <c:pt idx="32">
                  <c:v>685</c:v>
                </c:pt>
                <c:pt idx="33">
                  <c:v>785</c:v>
                </c:pt>
                <c:pt idx="34">
                  <c:v>885</c:v>
                </c:pt>
                <c:pt idx="35">
                  <c:v>985</c:v>
                </c:pt>
                <c:pt idx="36">
                  <c:v>1085</c:v>
                </c:pt>
                <c:pt idx="37">
                  <c:v>1185</c:v>
                </c:pt>
                <c:pt idx="38">
                  <c:v>1285</c:v>
                </c:pt>
                <c:pt idx="39">
                  <c:v>1385</c:v>
                </c:pt>
                <c:pt idx="40">
                  <c:v>1485</c:v>
                </c:pt>
                <c:pt idx="41">
                  <c:v>1585</c:v>
                </c:pt>
                <c:pt idx="42">
                  <c:v>1685</c:v>
                </c:pt>
                <c:pt idx="43">
                  <c:v>1785</c:v>
                </c:pt>
                <c:pt idx="44">
                  <c:v>1885</c:v>
                </c:pt>
                <c:pt idx="45">
                  <c:v>1985</c:v>
                </c:pt>
                <c:pt idx="46">
                  <c:v>2085</c:v>
                </c:pt>
                <c:pt idx="47">
                  <c:v>2585</c:v>
                </c:pt>
                <c:pt idx="48">
                  <c:v>2785</c:v>
                </c:pt>
                <c:pt idx="49">
                  <c:v>2985</c:v>
                </c:pt>
                <c:pt idx="50">
                  <c:v>3185</c:v>
                </c:pt>
                <c:pt idx="51">
                  <c:v>3385</c:v>
                </c:pt>
                <c:pt idx="52">
                  <c:v>3585</c:v>
                </c:pt>
                <c:pt idx="53">
                  <c:v>3420</c:v>
                </c:pt>
                <c:pt idx="54">
                  <c:v>3420</c:v>
                </c:pt>
              </c:numCache>
            </c:numRef>
          </c:xVal>
          <c:yVal>
            <c:numRef>
              <c:f>1</c:f>
              <c:numCache>
                <c:formatCode>General</c:formatCode>
                <c:ptCount val="55"/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1</c15:sqref>
                        </c15:formulaRef>
                      </c:ext>
                    </c:extLst>
                    <c:strCache>
                      <c:ptCount val="1"/>
                      <c:pt idx="0">
                        <c:v>Average permeability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0DE8-401B-8256-A22946A1A4F8}"/>
            </c:ext>
          </c:extLst>
        </c:ser>
        <c:ser>
          <c:idx val="1"/>
          <c:order val="1"/>
          <c:spPr>
            <a:ln w="0">
              <a:solidFill>
                <a:srgbClr val="FF00FF"/>
              </a:solidFill>
            </a:ln>
          </c:spPr>
          <c:marker>
            <c:symbol val="square"/>
            <c:size val="3"/>
            <c:spPr>
              <a:solidFill>
                <a:srgbClr val="FF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5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  <c:pt idx="7">
                  <c:v>35</c:v>
                </c:pt>
                <c:pt idx="8">
                  <c:v>45</c:v>
                </c:pt>
                <c:pt idx="9">
                  <c:v>55</c:v>
                </c:pt>
                <c:pt idx="10">
                  <c:v>65</c:v>
                </c:pt>
                <c:pt idx="11">
                  <c:v>75</c:v>
                </c:pt>
                <c:pt idx="12">
                  <c:v>85</c:v>
                </c:pt>
                <c:pt idx="13">
                  <c:v>95</c:v>
                </c:pt>
                <c:pt idx="14">
                  <c:v>105</c:v>
                </c:pt>
                <c:pt idx="15">
                  <c:v>115</c:v>
                </c:pt>
                <c:pt idx="16">
                  <c:v>125</c:v>
                </c:pt>
                <c:pt idx="17">
                  <c:v>135</c:v>
                </c:pt>
                <c:pt idx="18">
                  <c:v>145</c:v>
                </c:pt>
                <c:pt idx="19">
                  <c:v>155</c:v>
                </c:pt>
                <c:pt idx="20">
                  <c:v>165</c:v>
                </c:pt>
                <c:pt idx="21">
                  <c:v>175</c:v>
                </c:pt>
                <c:pt idx="22">
                  <c:v>185</c:v>
                </c:pt>
                <c:pt idx="23">
                  <c:v>195</c:v>
                </c:pt>
                <c:pt idx="24">
                  <c:v>205</c:v>
                </c:pt>
                <c:pt idx="25">
                  <c:v>215</c:v>
                </c:pt>
                <c:pt idx="26">
                  <c:v>225</c:v>
                </c:pt>
                <c:pt idx="27">
                  <c:v>255</c:v>
                </c:pt>
                <c:pt idx="28">
                  <c:v>285</c:v>
                </c:pt>
                <c:pt idx="29">
                  <c:v>385</c:v>
                </c:pt>
                <c:pt idx="30">
                  <c:v>485</c:v>
                </c:pt>
                <c:pt idx="31">
                  <c:v>585</c:v>
                </c:pt>
                <c:pt idx="32">
                  <c:v>685</c:v>
                </c:pt>
                <c:pt idx="33">
                  <c:v>785</c:v>
                </c:pt>
                <c:pt idx="34">
                  <c:v>885</c:v>
                </c:pt>
                <c:pt idx="35">
                  <c:v>985</c:v>
                </c:pt>
                <c:pt idx="36">
                  <c:v>1085</c:v>
                </c:pt>
                <c:pt idx="37">
                  <c:v>1185</c:v>
                </c:pt>
                <c:pt idx="38">
                  <c:v>1285</c:v>
                </c:pt>
                <c:pt idx="39">
                  <c:v>1385</c:v>
                </c:pt>
                <c:pt idx="40">
                  <c:v>1485</c:v>
                </c:pt>
                <c:pt idx="41">
                  <c:v>1585</c:v>
                </c:pt>
                <c:pt idx="42">
                  <c:v>1685</c:v>
                </c:pt>
                <c:pt idx="43">
                  <c:v>1785</c:v>
                </c:pt>
                <c:pt idx="44">
                  <c:v>1885</c:v>
                </c:pt>
                <c:pt idx="45">
                  <c:v>1985</c:v>
                </c:pt>
                <c:pt idx="46">
                  <c:v>2085</c:v>
                </c:pt>
                <c:pt idx="47">
                  <c:v>2585</c:v>
                </c:pt>
                <c:pt idx="48">
                  <c:v>2785</c:v>
                </c:pt>
                <c:pt idx="49">
                  <c:v>2985</c:v>
                </c:pt>
                <c:pt idx="50">
                  <c:v>3185</c:v>
                </c:pt>
                <c:pt idx="51">
                  <c:v>3385</c:v>
                </c:pt>
                <c:pt idx="52">
                  <c:v>3585</c:v>
                </c:pt>
                <c:pt idx="53">
                  <c:v>3420</c:v>
                </c:pt>
                <c:pt idx="54">
                  <c:v>3420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55"/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2</c15:sqref>
                        </c15:formulaRef>
                      </c:ext>
                    </c:extLst>
                    <c:strCache>
                      <c:ptCount val="1"/>
                      <c:pt idx="0">
                        <c:v>Permeability damage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0DE8-401B-8256-A22946A1A4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485478"/>
        <c:axId val="68966935"/>
      </c:scatterChart>
      <c:valAx>
        <c:axId val="75485478"/>
        <c:scaling>
          <c:orientation val="minMax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80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Time (min)</a:t>
                </a:r>
              </a:p>
            </c:rich>
          </c:tx>
          <c:layout>
            <c:manualLayout>
              <c:xMode val="edge"/>
              <c:yMode val="edge"/>
              <c:x val="0.431028912938136"/>
              <c:y val="0.90764517070323902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00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68966935"/>
        <c:crosses val="autoZero"/>
        <c:crossBetween val="midCat"/>
      </c:valAx>
      <c:valAx>
        <c:axId val="68966935"/>
        <c:scaling>
          <c:orientation val="minMax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80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Initial  prmeability  (md)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00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75485478"/>
        <c:crosses val="autoZero"/>
        <c:crossBetween val="midCat"/>
      </c:valAx>
      <c:spPr>
        <a:gradFill>
          <a:gsLst>
            <a:gs pos="0">
              <a:srgbClr val="FFFFCC"/>
            </a:gs>
            <a:gs pos="100000">
              <a:srgbClr val="FFFF99"/>
            </a:gs>
          </a:gsLst>
          <a:lin ang="5400000"/>
        </a:gradFill>
        <a:ln w="12600">
          <a:solidFill>
            <a:srgbClr val="80808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0">
          <a:solidFill>
            <a:srgbClr val="000000"/>
          </a:solidFill>
        </a:ln>
      </c:spPr>
      <c:txPr>
        <a:bodyPr/>
        <a:lstStyle/>
        <a:p>
          <a:pPr>
            <a:defRPr sz="800" b="1" u="none" strike="noStrike">
              <a:solidFill>
                <a:srgbClr val="000000"/>
              </a:solidFill>
              <a:uFillTx/>
              <a:latin typeface="Times New Roman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8080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9740552735476599"/>
          <c:y val="9.1812456263121095E-2"/>
          <c:w val="0.772459914591894"/>
          <c:h val="0.75283414975507401"/>
        </c:manualLayout>
      </c:layout>
      <c:scatterChart>
        <c:scatterStyle val="lineMarker"/>
        <c:varyColors val="0"/>
        <c:ser>
          <c:idx val="0"/>
          <c:order val="0"/>
          <c:spPr>
            <a:ln w="0">
              <a:solidFill>
                <a:srgbClr val="000080"/>
              </a:solidFill>
            </a:ln>
          </c:spPr>
          <c:marker>
            <c:symbol val="diamond"/>
            <c:size val="3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5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  <c:pt idx="7">
                  <c:v>35</c:v>
                </c:pt>
                <c:pt idx="8">
                  <c:v>45</c:v>
                </c:pt>
                <c:pt idx="9">
                  <c:v>55</c:v>
                </c:pt>
                <c:pt idx="10">
                  <c:v>65</c:v>
                </c:pt>
                <c:pt idx="11">
                  <c:v>75</c:v>
                </c:pt>
                <c:pt idx="12">
                  <c:v>85</c:v>
                </c:pt>
                <c:pt idx="13">
                  <c:v>95</c:v>
                </c:pt>
                <c:pt idx="14">
                  <c:v>105</c:v>
                </c:pt>
                <c:pt idx="15">
                  <c:v>115</c:v>
                </c:pt>
                <c:pt idx="16">
                  <c:v>125</c:v>
                </c:pt>
                <c:pt idx="17">
                  <c:v>135</c:v>
                </c:pt>
                <c:pt idx="18">
                  <c:v>145</c:v>
                </c:pt>
                <c:pt idx="19">
                  <c:v>155</c:v>
                </c:pt>
                <c:pt idx="20">
                  <c:v>165</c:v>
                </c:pt>
                <c:pt idx="21">
                  <c:v>175</c:v>
                </c:pt>
                <c:pt idx="22">
                  <c:v>185</c:v>
                </c:pt>
                <c:pt idx="23">
                  <c:v>195</c:v>
                </c:pt>
                <c:pt idx="24">
                  <c:v>205</c:v>
                </c:pt>
                <c:pt idx="25">
                  <c:v>215</c:v>
                </c:pt>
                <c:pt idx="26">
                  <c:v>225</c:v>
                </c:pt>
                <c:pt idx="27">
                  <c:v>255</c:v>
                </c:pt>
                <c:pt idx="28">
                  <c:v>285</c:v>
                </c:pt>
                <c:pt idx="29">
                  <c:v>385</c:v>
                </c:pt>
                <c:pt idx="30">
                  <c:v>485</c:v>
                </c:pt>
                <c:pt idx="31">
                  <c:v>585</c:v>
                </c:pt>
                <c:pt idx="32">
                  <c:v>685</c:v>
                </c:pt>
                <c:pt idx="33">
                  <c:v>785</c:v>
                </c:pt>
                <c:pt idx="34">
                  <c:v>885</c:v>
                </c:pt>
                <c:pt idx="35">
                  <c:v>985</c:v>
                </c:pt>
                <c:pt idx="36">
                  <c:v>1085</c:v>
                </c:pt>
                <c:pt idx="37">
                  <c:v>1185</c:v>
                </c:pt>
                <c:pt idx="38">
                  <c:v>1285</c:v>
                </c:pt>
                <c:pt idx="39">
                  <c:v>1385</c:v>
                </c:pt>
                <c:pt idx="40">
                  <c:v>1485</c:v>
                </c:pt>
                <c:pt idx="41">
                  <c:v>1585</c:v>
                </c:pt>
                <c:pt idx="42">
                  <c:v>1685</c:v>
                </c:pt>
                <c:pt idx="43">
                  <c:v>1785</c:v>
                </c:pt>
                <c:pt idx="44">
                  <c:v>1885</c:v>
                </c:pt>
                <c:pt idx="45">
                  <c:v>1985</c:v>
                </c:pt>
                <c:pt idx="46">
                  <c:v>2085</c:v>
                </c:pt>
                <c:pt idx="47">
                  <c:v>2585</c:v>
                </c:pt>
                <c:pt idx="48">
                  <c:v>2785</c:v>
                </c:pt>
                <c:pt idx="49">
                  <c:v>2985</c:v>
                </c:pt>
                <c:pt idx="50">
                  <c:v>3185</c:v>
                </c:pt>
                <c:pt idx="51">
                  <c:v>3385</c:v>
                </c:pt>
                <c:pt idx="52">
                  <c:v>3585</c:v>
                </c:pt>
                <c:pt idx="53">
                  <c:v>3420</c:v>
                </c:pt>
                <c:pt idx="54">
                  <c:v>3420</c:v>
                </c:pt>
              </c:numCache>
            </c:numRef>
          </c:xVal>
          <c:yVal>
            <c:numRef>
              <c:f>1</c:f>
              <c:numCache>
                <c:formatCode>General</c:formatCode>
                <c:ptCount val="55"/>
                <c:pt idx="0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1</c15:sqref>
                        </c15:formulaRef>
                      </c:ext>
                    </c:extLst>
                    <c:strCache>
                      <c:ptCount val="1"/>
                      <c:pt idx="0">
                        <c:v>Column CI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2262-45D1-8828-E4822D063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33600"/>
        <c:axId val="52198978"/>
      </c:scatterChart>
      <c:valAx>
        <c:axId val="37133600"/>
        <c:scaling>
          <c:orientation val="minMax"/>
          <c:max val="4000"/>
          <c:min val="1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925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Time (min)</a:t>
                </a:r>
              </a:p>
            </c:rich>
          </c:tx>
          <c:layout>
            <c:manualLayout>
              <c:xMode val="edge"/>
              <c:yMode val="edge"/>
              <c:x val="0.49214406574812702"/>
              <c:y val="0.90034989503149099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925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52198978"/>
        <c:crosses val="autoZero"/>
        <c:crossBetween val="midCat"/>
      </c:valAx>
      <c:valAx>
        <c:axId val="52198978"/>
        <c:scaling>
          <c:orientation val="minMax"/>
          <c:max val="3.5"/>
          <c:min val="0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925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Depth of solids invasion (cm)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925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37133600"/>
        <c:crossesAt val="1"/>
        <c:crossBetween val="midCat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plotVisOnly val="1"/>
    <c:dispBlanksAs val="gap"/>
    <c:showDLblsOverMax val="1"/>
  </c:chart>
  <c:spPr>
    <a:solidFill>
      <a:srgbClr val="FF8080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122770199370401"/>
          <c:y val="9.0568060021436206E-2"/>
          <c:w val="0.83805526407834896"/>
          <c:h val="0.75428724544480197"/>
        </c:manualLayout>
      </c:layout>
      <c:scatterChart>
        <c:scatterStyle val="lineMarker"/>
        <c:varyColors val="0"/>
        <c:ser>
          <c:idx val="0"/>
          <c:order val="0"/>
          <c:spPr>
            <a:ln w="0">
              <a:solidFill>
                <a:srgbClr val="000080"/>
              </a:solidFill>
            </a:ln>
          </c:spPr>
          <c:marker>
            <c:symbol val="diamond"/>
            <c:size val="3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5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  <c:pt idx="7">
                  <c:v>35</c:v>
                </c:pt>
                <c:pt idx="8">
                  <c:v>45</c:v>
                </c:pt>
                <c:pt idx="9">
                  <c:v>55</c:v>
                </c:pt>
                <c:pt idx="10">
                  <c:v>65</c:v>
                </c:pt>
                <c:pt idx="11">
                  <c:v>75</c:v>
                </c:pt>
                <c:pt idx="12">
                  <c:v>85</c:v>
                </c:pt>
                <c:pt idx="13">
                  <c:v>95</c:v>
                </c:pt>
                <c:pt idx="14">
                  <c:v>105</c:v>
                </c:pt>
                <c:pt idx="15">
                  <c:v>115</c:v>
                </c:pt>
                <c:pt idx="16">
                  <c:v>125</c:v>
                </c:pt>
                <c:pt idx="17">
                  <c:v>135</c:v>
                </c:pt>
                <c:pt idx="18">
                  <c:v>145</c:v>
                </c:pt>
                <c:pt idx="19">
                  <c:v>155</c:v>
                </c:pt>
                <c:pt idx="20">
                  <c:v>165</c:v>
                </c:pt>
                <c:pt idx="21">
                  <c:v>175</c:v>
                </c:pt>
                <c:pt idx="22">
                  <c:v>185</c:v>
                </c:pt>
                <c:pt idx="23">
                  <c:v>195</c:v>
                </c:pt>
                <c:pt idx="24">
                  <c:v>205</c:v>
                </c:pt>
                <c:pt idx="25">
                  <c:v>215</c:v>
                </c:pt>
                <c:pt idx="26">
                  <c:v>225</c:v>
                </c:pt>
                <c:pt idx="27">
                  <c:v>255</c:v>
                </c:pt>
                <c:pt idx="28">
                  <c:v>285</c:v>
                </c:pt>
                <c:pt idx="29">
                  <c:v>385</c:v>
                </c:pt>
                <c:pt idx="30">
                  <c:v>485</c:v>
                </c:pt>
                <c:pt idx="31">
                  <c:v>585</c:v>
                </c:pt>
                <c:pt idx="32">
                  <c:v>685</c:v>
                </c:pt>
                <c:pt idx="33">
                  <c:v>785</c:v>
                </c:pt>
                <c:pt idx="34">
                  <c:v>885</c:v>
                </c:pt>
                <c:pt idx="35">
                  <c:v>985</c:v>
                </c:pt>
                <c:pt idx="36">
                  <c:v>1085</c:v>
                </c:pt>
                <c:pt idx="37">
                  <c:v>1185</c:v>
                </c:pt>
                <c:pt idx="38">
                  <c:v>1285</c:v>
                </c:pt>
                <c:pt idx="39">
                  <c:v>1385</c:v>
                </c:pt>
                <c:pt idx="40">
                  <c:v>1485</c:v>
                </c:pt>
                <c:pt idx="41">
                  <c:v>1585</c:v>
                </c:pt>
                <c:pt idx="42">
                  <c:v>1685</c:v>
                </c:pt>
                <c:pt idx="43">
                  <c:v>1785</c:v>
                </c:pt>
                <c:pt idx="44">
                  <c:v>1885</c:v>
                </c:pt>
                <c:pt idx="45">
                  <c:v>1985</c:v>
                </c:pt>
                <c:pt idx="46">
                  <c:v>2085</c:v>
                </c:pt>
                <c:pt idx="47">
                  <c:v>2585</c:v>
                </c:pt>
                <c:pt idx="48">
                  <c:v>2785</c:v>
                </c:pt>
                <c:pt idx="49">
                  <c:v>2985</c:v>
                </c:pt>
                <c:pt idx="50">
                  <c:v>3185</c:v>
                </c:pt>
                <c:pt idx="51">
                  <c:v>3385</c:v>
                </c:pt>
                <c:pt idx="52">
                  <c:v>3585</c:v>
                </c:pt>
                <c:pt idx="53">
                  <c:v>3420</c:v>
                </c:pt>
                <c:pt idx="54">
                  <c:v>3420</c:v>
                </c:pt>
              </c:numCache>
            </c:numRef>
          </c:xVal>
          <c:yVal>
            <c:numRef>
              <c:f>1</c:f>
              <c:numCache>
                <c:formatCode>General</c:formatCode>
                <c:ptCount val="55"/>
                <c:pt idx="1">
                  <c:v>3.04754395849019</c:v>
                </c:pt>
                <c:pt idx="2">
                  <c:v>3.0943575032403898</c:v>
                </c:pt>
                <c:pt idx="3">
                  <c:v>3.2307307059936599</c:v>
                </c:pt>
                <c:pt idx="4">
                  <c:v>3.4460472703229899</c:v>
                </c:pt>
                <c:pt idx="5">
                  <c:v>3.8406358299897598</c:v>
                </c:pt>
                <c:pt idx="6">
                  <c:v>4.19830029510773</c:v>
                </c:pt>
                <c:pt idx="7">
                  <c:v>4.3661592117731898</c:v>
                </c:pt>
                <c:pt idx="8">
                  <c:v>4.6838646491815403</c:v>
                </c:pt>
                <c:pt idx="9">
                  <c:v>4.9813481951328198</c:v>
                </c:pt>
                <c:pt idx="10">
                  <c:v>5.2620406336756398</c:v>
                </c:pt>
                <c:pt idx="11">
                  <c:v>5.5285001057930803</c:v>
                </c:pt>
                <c:pt idx="12">
                  <c:v>5.7826944592512097</c:v>
                </c:pt>
                <c:pt idx="13">
                  <c:v>6.0261759846817604</c:v>
                </c:pt>
                <c:pt idx="14">
                  <c:v>6.2601947883157596</c:v>
                </c:pt>
                <c:pt idx="15">
                  <c:v>6.48577524872365</c:v>
                </c:pt>
                <c:pt idx="16">
                  <c:v>6.7037692655890897</c:v>
                </c:pt>
                <c:pt idx="17">
                  <c:v>6.9148943705278301</c:v>
                </c:pt>
                <c:pt idx="18">
                  <c:v>7.1197616494415001</c:v>
                </c:pt>
                <c:pt idx="19">
                  <c:v>7.3188966199939296</c:v>
                </c:pt>
                <c:pt idx="20">
                  <c:v>7.5127551220214199</c:v>
                </c:pt>
                <c:pt idx="21">
                  <c:v>7.7017356039245897</c:v>
                </c:pt>
                <c:pt idx="22">
                  <c:v>7.88618875643109</c:v>
                </c:pt>
                <c:pt idx="23">
                  <c:v>8.0664251618273095</c:v>
                </c:pt>
                <c:pt idx="24">
                  <c:v>8.2427214365560904</c:v>
                </c:pt>
                <c:pt idx="25">
                  <c:v>8.4153252147473108</c:v>
                </c:pt>
                <c:pt idx="26">
                  <c:v>8.5844592292853505</c:v>
                </c:pt>
                <c:pt idx="27">
                  <c:v>9.0729634424020507</c:v>
                </c:pt>
                <c:pt idx="28">
                  <c:v>9.5364768649153504</c:v>
                </c:pt>
                <c:pt idx="29">
                  <c:v>10.940603680239599</c:v>
                </c:pt>
                <c:pt idx="30">
                  <c:v>12.183974178447601</c:v>
                </c:pt>
                <c:pt idx="31">
                  <c:v>13.311710809437001</c:v>
                </c:pt>
                <c:pt idx="32">
                  <c:v>14.3510996988763</c:v>
                </c:pt>
                <c:pt idx="33">
                  <c:v>15.3201331737062</c:v>
                </c:pt>
                <c:pt idx="34">
                  <c:v>16.231417016178799</c:v>
                </c:pt>
                <c:pt idx="35">
                  <c:v>17.094189546337201</c:v>
                </c:pt>
                <c:pt idx="36">
                  <c:v>17.915460757097801</c:v>
                </c:pt>
                <c:pt idx="37">
                  <c:v>18.7006992391225</c:v>
                </c:pt>
                <c:pt idx="38">
                  <c:v>19.454268681323398</c:v>
                </c:pt>
                <c:pt idx="39">
                  <c:v>20.1797172383095</c:v>
                </c:pt>
                <c:pt idx="40">
                  <c:v>20.879976190387101</c:v>
                </c:pt>
                <c:pt idx="41">
                  <c:v>21.557500402508101</c:v>
                </c:pt>
                <c:pt idx="42">
                  <c:v>22.214370157561099</c:v>
                </c:pt>
                <c:pt idx="43">
                  <c:v>22.852366603705399</c:v>
                </c:pt>
                <c:pt idx="44">
                  <c:v>23.4730287198553</c:v>
                </c:pt>
                <c:pt idx="45">
                  <c:v>24.077697048849199</c:v>
                </c:pt>
                <c:pt idx="46">
                  <c:v>24.667547771701301</c:v>
                </c:pt>
                <c:pt idx="47">
                  <c:v>27.427176350003499</c:v>
                </c:pt>
                <c:pt idx="48">
                  <c:v>28.456191563879401</c:v>
                </c:pt>
                <c:pt idx="49">
                  <c:v>29.449272896053198</c:v>
                </c:pt>
                <c:pt idx="50">
                  <c:v>30.409940971534699</c:v>
                </c:pt>
                <c:pt idx="51">
                  <c:v>31.341176520326002</c:v>
                </c:pt>
                <c:pt idx="52">
                  <c:v>32.245529635350202</c:v>
                </c:pt>
                <c:pt idx="53">
                  <c:v>31.5013125431432</c:v>
                </c:pt>
                <c:pt idx="54">
                  <c:v>31.5013125431432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1</c15:sqref>
                        </c15:formulaRef>
                      </c:ext>
                    </c:extLst>
                    <c:strCache>
                      <c:ptCount val="1"/>
                      <c:pt idx="0">
                        <c:v>Column CO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EE44-41A0-88F2-4272626F7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56295"/>
        <c:axId val="67977290"/>
      </c:scatterChart>
      <c:valAx>
        <c:axId val="17356295"/>
        <c:scaling>
          <c:orientation val="minMax"/>
          <c:min val="30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100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Drilling Time (min)</a:t>
                </a:r>
              </a:p>
            </c:rich>
          </c:tx>
          <c:layout>
            <c:manualLayout>
              <c:xMode val="edge"/>
              <c:yMode val="edge"/>
              <c:x val="0.40601608954179802"/>
              <c:y val="0.90139335476956095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000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67977290"/>
        <c:crosses val="autoZero"/>
        <c:crossBetween val="midCat"/>
      </c:valAx>
      <c:valAx>
        <c:axId val="67977290"/>
        <c:scaling>
          <c:orientation val="minMax"/>
          <c:max val="35"/>
          <c:min val="5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90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Total depth of invasion (in)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000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17356295"/>
        <c:crosses val="autoZero"/>
        <c:crossBetween val="midCat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plotVisOnly val="1"/>
    <c:dispBlanksAs val="gap"/>
    <c:showDLblsOverMax val="1"/>
  </c:chart>
  <c:spPr>
    <a:solidFill>
      <a:srgbClr val="FF8080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5865767920562401"/>
          <c:y val="7.5330054361894896E-2"/>
          <c:w val="0.72660723345654898"/>
          <c:h val="0.75873673310898304"/>
        </c:manualLayout>
      </c:layout>
      <c:scatterChart>
        <c:scatterStyle val="lineMarker"/>
        <c:varyColors val="0"/>
        <c:ser>
          <c:idx val="0"/>
          <c:order val="0"/>
          <c:spPr>
            <a:ln w="0">
              <a:solidFill>
                <a:srgbClr val="000080"/>
              </a:solidFill>
            </a:ln>
          </c:spPr>
          <c:marker>
            <c:symbol val="diamond"/>
            <c:size val="3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63"/>
                <c:pt idx="0">
                  <c:v>31.3581359768209</c:v>
                </c:pt>
                <c:pt idx="1">
                  <c:v>30.8962825279641</c:v>
                </c:pt>
                <c:pt idx="2">
                  <c:v>30.427419479061601</c:v>
                </c:pt>
                <c:pt idx="3">
                  <c:v>29.951217642389299</c:v>
                </c:pt>
                <c:pt idx="4">
                  <c:v>29.467321228248199</c:v>
                </c:pt>
                <c:pt idx="5">
                  <c:v>28.975344734373099</c:v>
                </c:pt>
                <c:pt idx="6">
                  <c:v>28.474869351460701</c:v>
                </c:pt>
                <c:pt idx="7">
                  <c:v>28.2213035779046</c:v>
                </c:pt>
                <c:pt idx="8">
                  <c:v>27.9654387895086</c:v>
                </c:pt>
                <c:pt idx="9">
                  <c:v>27.707211294954401</c:v>
                </c:pt>
                <c:pt idx="10">
                  <c:v>27.446554406641699</c:v>
                </c:pt>
                <c:pt idx="11">
                  <c:v>27.183398239555</c:v>
                </c:pt>
                <c:pt idx="12">
                  <c:v>26.9176694924308</c:v>
                </c:pt>
                <c:pt idx="13">
                  <c:v>26.6492912092843</c:v>
                </c:pt>
                <c:pt idx="14">
                  <c:v>26.378182519095802</c:v>
                </c:pt>
                <c:pt idx="15">
                  <c:v>26.1042583511624</c:v>
                </c:pt>
                <c:pt idx="16">
                  <c:v>25.827429123273699</c:v>
                </c:pt>
                <c:pt idx="17">
                  <c:v>25.547600399474401</c:v>
                </c:pt>
                <c:pt idx="18">
                  <c:v>25.264672513704198</c:v>
                </c:pt>
                <c:pt idx="19">
                  <c:v>24.978540155065499</c:v>
                </c:pt>
                <c:pt idx="20">
                  <c:v>24.689091909823599</c:v>
                </c:pt>
                <c:pt idx="21">
                  <c:v>24.396209754492901</c:v>
                </c:pt>
                <c:pt idx="22">
                  <c:v>24.099768493467099</c:v>
                </c:pt>
                <c:pt idx="23">
                  <c:v>23.799635133594101</c:v>
                </c:pt>
                <c:pt idx="24">
                  <c:v>23.4956681868319</c:v>
                </c:pt>
                <c:pt idx="25">
                  <c:v>23.187716890612599</c:v>
                </c:pt>
                <c:pt idx="26">
                  <c:v>22.875620333724299</c:v>
                </c:pt>
                <c:pt idx="27">
                  <c:v>22.559206473326999</c:v>
                </c:pt>
                <c:pt idx="28">
                  <c:v>22.238291026058999</c:v>
                </c:pt>
                <c:pt idx="29">
                  <c:v>21.912676212941001</c:v>
                </c:pt>
                <c:pt idx="30">
                  <c:v>21.582149333805699</c:v>
                </c:pt>
                <c:pt idx="31">
                  <c:v>21.2464811420665</c:v>
                </c:pt>
                <c:pt idx="32">
                  <c:v>20.905423984547301</c:v>
                </c:pt>
                <c:pt idx="33">
                  <c:v>20.558709663477899</c:v>
                </c:pt>
                <c:pt idx="34">
                  <c:v>20.206046968189401</c:v>
                </c:pt>
                <c:pt idx="35">
                  <c:v>19.847118811912601</c:v>
                </c:pt>
                <c:pt idx="36">
                  <c:v>19.481578893602901</c:v>
                </c:pt>
                <c:pt idx="37">
                  <c:v>19.109047784784298</c:v>
                </c:pt>
                <c:pt idx="38">
                  <c:v>18.729108315525</c:v>
                </c:pt>
                <c:pt idx="39">
                  <c:v>18.341300099724801</c:v>
                </c:pt>
                <c:pt idx="40">
                  <c:v>17.945112994953899</c:v>
                </c:pt>
                <c:pt idx="41">
                  <c:v>17.539979231890701</c:v>
                </c:pt>
                <c:pt idx="42">
                  <c:v>17.125263866832999</c:v>
                </c:pt>
                <c:pt idx="43">
                  <c:v>16.7002530987453</c:v>
                </c:pt>
                <c:pt idx="44">
                  <c:v>16.264139836328599</c:v>
                </c:pt>
                <c:pt idx="45">
                  <c:v>15.8160056799796</c:v>
                </c:pt>
                <c:pt idx="46">
                  <c:v>15.3547981661318</c:v>
                </c:pt>
                <c:pt idx="47">
                  <c:v>14.8793016561982</c:v>
                </c:pt>
                <c:pt idx="48">
                  <c:v>14.3880995558705</c:v>
                </c:pt>
                <c:pt idx="49">
                  <c:v>13.879524483322101</c:v>
                </c:pt>
                <c:pt idx="50">
                  <c:v>13.3515913260043</c:v>
                </c:pt>
                <c:pt idx="51">
                  <c:v>12.801905404670499</c:v>
                </c:pt>
                <c:pt idx="52">
                  <c:v>12.227533399816499</c:v>
                </c:pt>
                <c:pt idx="53">
                  <c:v>11.624816733915701</c:v>
                </c:pt>
                <c:pt idx="54">
                  <c:v>10.9890925535561</c:v>
                </c:pt>
                <c:pt idx="55">
                  <c:v>10.3142593628491</c:v>
                </c:pt>
                <c:pt idx="56">
                  <c:v>9.5920663705802998</c:v>
                </c:pt>
                <c:pt idx="57">
                  <c:v>8.8108755700619703</c:v>
                </c:pt>
                <c:pt idx="58">
                  <c:v>7.9533212788502397</c:v>
                </c:pt>
                <c:pt idx="59">
                  <c:v>6.9913596973771401</c:v>
                </c:pt>
                <c:pt idx="60">
                  <c:v>5.8739170467079802</c:v>
                </c:pt>
                <c:pt idx="61">
                  <c:v>4.4862782487384596</c:v>
                </c:pt>
                <c:pt idx="62">
                  <c:v>2.3980165926450798</c:v>
                </c:pt>
              </c:numCache>
            </c:numRef>
          </c:xVal>
          <c:yVal>
            <c:numRef>
              <c:f>1</c:f>
              <c:numCache>
                <c:formatCode>General</c:formatCode>
                <c:ptCount val="63"/>
                <c:pt idx="0">
                  <c:v>3420</c:v>
                </c:pt>
                <c:pt idx="1">
                  <c:v>3320</c:v>
                </c:pt>
                <c:pt idx="2">
                  <c:v>3220</c:v>
                </c:pt>
                <c:pt idx="3">
                  <c:v>3120</c:v>
                </c:pt>
                <c:pt idx="4">
                  <c:v>3020</c:v>
                </c:pt>
                <c:pt idx="5">
                  <c:v>2920</c:v>
                </c:pt>
                <c:pt idx="6">
                  <c:v>2820</c:v>
                </c:pt>
                <c:pt idx="7">
                  <c:v>2770</c:v>
                </c:pt>
                <c:pt idx="8">
                  <c:v>2720</c:v>
                </c:pt>
                <c:pt idx="9">
                  <c:v>2670</c:v>
                </c:pt>
                <c:pt idx="10">
                  <c:v>2620</c:v>
                </c:pt>
                <c:pt idx="11">
                  <c:v>2570</c:v>
                </c:pt>
                <c:pt idx="12">
                  <c:v>2520</c:v>
                </c:pt>
                <c:pt idx="13">
                  <c:v>2470</c:v>
                </c:pt>
                <c:pt idx="14">
                  <c:v>2420</c:v>
                </c:pt>
                <c:pt idx="15">
                  <c:v>2370</c:v>
                </c:pt>
                <c:pt idx="16">
                  <c:v>2320</c:v>
                </c:pt>
                <c:pt idx="17">
                  <c:v>2270</c:v>
                </c:pt>
                <c:pt idx="18">
                  <c:v>2220</c:v>
                </c:pt>
                <c:pt idx="19">
                  <c:v>2170</c:v>
                </c:pt>
                <c:pt idx="20">
                  <c:v>2120</c:v>
                </c:pt>
                <c:pt idx="21">
                  <c:v>2070</c:v>
                </c:pt>
                <c:pt idx="22">
                  <c:v>2020</c:v>
                </c:pt>
                <c:pt idx="23">
                  <c:v>1970</c:v>
                </c:pt>
                <c:pt idx="24">
                  <c:v>1920</c:v>
                </c:pt>
                <c:pt idx="25">
                  <c:v>1870</c:v>
                </c:pt>
                <c:pt idx="26">
                  <c:v>1820</c:v>
                </c:pt>
                <c:pt idx="27">
                  <c:v>1770</c:v>
                </c:pt>
                <c:pt idx="28">
                  <c:v>1720</c:v>
                </c:pt>
                <c:pt idx="29">
                  <c:v>1670</c:v>
                </c:pt>
                <c:pt idx="30">
                  <c:v>1620</c:v>
                </c:pt>
                <c:pt idx="31">
                  <c:v>1570</c:v>
                </c:pt>
                <c:pt idx="32">
                  <c:v>1520</c:v>
                </c:pt>
                <c:pt idx="33">
                  <c:v>1470</c:v>
                </c:pt>
                <c:pt idx="34">
                  <c:v>1420</c:v>
                </c:pt>
                <c:pt idx="35">
                  <c:v>1370</c:v>
                </c:pt>
                <c:pt idx="36">
                  <c:v>1320</c:v>
                </c:pt>
                <c:pt idx="37">
                  <c:v>1270</c:v>
                </c:pt>
                <c:pt idx="38">
                  <c:v>1220</c:v>
                </c:pt>
                <c:pt idx="39">
                  <c:v>1170</c:v>
                </c:pt>
                <c:pt idx="40">
                  <c:v>1120</c:v>
                </c:pt>
                <c:pt idx="41">
                  <c:v>1070</c:v>
                </c:pt>
                <c:pt idx="42">
                  <c:v>1020</c:v>
                </c:pt>
                <c:pt idx="43">
                  <c:v>970</c:v>
                </c:pt>
                <c:pt idx="44">
                  <c:v>920</c:v>
                </c:pt>
                <c:pt idx="45">
                  <c:v>870</c:v>
                </c:pt>
                <c:pt idx="46">
                  <c:v>820</c:v>
                </c:pt>
                <c:pt idx="47">
                  <c:v>770</c:v>
                </c:pt>
                <c:pt idx="48">
                  <c:v>720</c:v>
                </c:pt>
                <c:pt idx="49">
                  <c:v>670</c:v>
                </c:pt>
                <c:pt idx="50">
                  <c:v>620</c:v>
                </c:pt>
                <c:pt idx="51">
                  <c:v>570</c:v>
                </c:pt>
                <c:pt idx="52">
                  <c:v>520</c:v>
                </c:pt>
                <c:pt idx="53">
                  <c:v>470</c:v>
                </c:pt>
                <c:pt idx="54">
                  <c:v>420</c:v>
                </c:pt>
                <c:pt idx="55">
                  <c:v>370</c:v>
                </c:pt>
                <c:pt idx="56">
                  <c:v>320</c:v>
                </c:pt>
                <c:pt idx="57">
                  <c:v>270</c:v>
                </c:pt>
                <c:pt idx="58">
                  <c:v>220</c:v>
                </c:pt>
                <c:pt idx="59">
                  <c:v>170</c:v>
                </c:pt>
                <c:pt idx="60">
                  <c:v>120</c:v>
                </c:pt>
                <c:pt idx="61">
                  <c:v>70</c:v>
                </c:pt>
                <c:pt idx="62">
                  <c:v>20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1</c15:sqref>
                        </c15:formulaRef>
                      </c:ext>
                    </c:extLst>
                    <c:strCache>
                      <c:ptCount val="1"/>
                      <c:pt idx="0">
                        <c:v>Drilling time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4A33-4A28-8BD7-4EDE6703E8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649721"/>
        <c:axId val="18103128"/>
      </c:scatterChart>
      <c:scatterChart>
        <c:scatterStyle val="lineMarker"/>
        <c:varyColors val="0"/>
        <c:ser>
          <c:idx val="1"/>
          <c:order val="1"/>
          <c:spPr>
            <a:ln w="0">
              <a:solidFill>
                <a:srgbClr val="FF00FF"/>
              </a:solidFill>
            </a:ln>
          </c:spPr>
          <c:marker>
            <c:symbol val="square"/>
            <c:size val="3"/>
            <c:spPr>
              <a:solidFill>
                <a:srgbClr val="FF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63"/>
                <c:pt idx="0">
                  <c:v>31.3581359768209</c:v>
                </c:pt>
                <c:pt idx="1">
                  <c:v>30.8962825279641</c:v>
                </c:pt>
                <c:pt idx="2">
                  <c:v>30.427419479061601</c:v>
                </c:pt>
                <c:pt idx="3">
                  <c:v>29.951217642389299</c:v>
                </c:pt>
                <c:pt idx="4">
                  <c:v>29.467321228248199</c:v>
                </c:pt>
                <c:pt idx="5">
                  <c:v>28.975344734373099</c:v>
                </c:pt>
                <c:pt idx="6">
                  <c:v>28.474869351460701</c:v>
                </c:pt>
                <c:pt idx="7">
                  <c:v>28.2213035779046</c:v>
                </c:pt>
                <c:pt idx="8">
                  <c:v>27.9654387895086</c:v>
                </c:pt>
                <c:pt idx="9">
                  <c:v>27.707211294954401</c:v>
                </c:pt>
                <c:pt idx="10">
                  <c:v>27.446554406641699</c:v>
                </c:pt>
                <c:pt idx="11">
                  <c:v>27.183398239555</c:v>
                </c:pt>
                <c:pt idx="12">
                  <c:v>26.9176694924308</c:v>
                </c:pt>
                <c:pt idx="13">
                  <c:v>26.6492912092843</c:v>
                </c:pt>
                <c:pt idx="14">
                  <c:v>26.378182519095802</c:v>
                </c:pt>
                <c:pt idx="15">
                  <c:v>26.1042583511624</c:v>
                </c:pt>
                <c:pt idx="16">
                  <c:v>25.827429123273699</c:v>
                </c:pt>
                <c:pt idx="17">
                  <c:v>25.547600399474401</c:v>
                </c:pt>
                <c:pt idx="18">
                  <c:v>25.264672513704198</c:v>
                </c:pt>
                <c:pt idx="19">
                  <c:v>24.978540155065499</c:v>
                </c:pt>
                <c:pt idx="20">
                  <c:v>24.689091909823599</c:v>
                </c:pt>
                <c:pt idx="21">
                  <c:v>24.396209754492901</c:v>
                </c:pt>
                <c:pt idx="22">
                  <c:v>24.099768493467099</c:v>
                </c:pt>
                <c:pt idx="23">
                  <c:v>23.799635133594101</c:v>
                </c:pt>
                <c:pt idx="24">
                  <c:v>23.4956681868319</c:v>
                </c:pt>
                <c:pt idx="25">
                  <c:v>23.187716890612599</c:v>
                </c:pt>
                <c:pt idx="26">
                  <c:v>22.875620333724299</c:v>
                </c:pt>
                <c:pt idx="27">
                  <c:v>22.559206473326999</c:v>
                </c:pt>
                <c:pt idx="28">
                  <c:v>22.238291026058999</c:v>
                </c:pt>
                <c:pt idx="29">
                  <c:v>21.912676212941001</c:v>
                </c:pt>
                <c:pt idx="30">
                  <c:v>21.582149333805699</c:v>
                </c:pt>
                <c:pt idx="31">
                  <c:v>21.2464811420665</c:v>
                </c:pt>
                <c:pt idx="32">
                  <c:v>20.905423984547301</c:v>
                </c:pt>
                <c:pt idx="33">
                  <c:v>20.558709663477899</c:v>
                </c:pt>
                <c:pt idx="34">
                  <c:v>20.206046968189401</c:v>
                </c:pt>
                <c:pt idx="35">
                  <c:v>19.847118811912601</c:v>
                </c:pt>
                <c:pt idx="36">
                  <c:v>19.481578893602901</c:v>
                </c:pt>
                <c:pt idx="37">
                  <c:v>19.109047784784298</c:v>
                </c:pt>
                <c:pt idx="38">
                  <c:v>18.729108315525</c:v>
                </c:pt>
                <c:pt idx="39">
                  <c:v>18.341300099724801</c:v>
                </c:pt>
                <c:pt idx="40">
                  <c:v>17.945112994953899</c:v>
                </c:pt>
                <c:pt idx="41">
                  <c:v>17.539979231890701</c:v>
                </c:pt>
                <c:pt idx="42">
                  <c:v>17.125263866832999</c:v>
                </c:pt>
                <c:pt idx="43">
                  <c:v>16.7002530987453</c:v>
                </c:pt>
                <c:pt idx="44">
                  <c:v>16.264139836328599</c:v>
                </c:pt>
                <c:pt idx="45">
                  <c:v>15.8160056799796</c:v>
                </c:pt>
                <c:pt idx="46">
                  <c:v>15.3547981661318</c:v>
                </c:pt>
                <c:pt idx="47">
                  <c:v>14.8793016561982</c:v>
                </c:pt>
                <c:pt idx="48">
                  <c:v>14.3880995558705</c:v>
                </c:pt>
                <c:pt idx="49">
                  <c:v>13.879524483322101</c:v>
                </c:pt>
                <c:pt idx="50">
                  <c:v>13.3515913260043</c:v>
                </c:pt>
                <c:pt idx="51">
                  <c:v>12.801905404670499</c:v>
                </c:pt>
                <c:pt idx="52">
                  <c:v>12.227533399816499</c:v>
                </c:pt>
                <c:pt idx="53">
                  <c:v>11.624816733915701</c:v>
                </c:pt>
                <c:pt idx="54">
                  <c:v>10.9890925535561</c:v>
                </c:pt>
                <c:pt idx="55">
                  <c:v>10.3142593628491</c:v>
                </c:pt>
                <c:pt idx="56">
                  <c:v>9.5920663705802998</c:v>
                </c:pt>
                <c:pt idx="57">
                  <c:v>8.8108755700619703</c:v>
                </c:pt>
                <c:pt idx="58">
                  <c:v>7.9533212788502397</c:v>
                </c:pt>
                <c:pt idx="59">
                  <c:v>6.9913596973771401</c:v>
                </c:pt>
                <c:pt idx="60">
                  <c:v>5.8739170467079802</c:v>
                </c:pt>
                <c:pt idx="61">
                  <c:v>4.4862782487384596</c:v>
                </c:pt>
                <c:pt idx="62">
                  <c:v>2.3980165926450798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63"/>
                <c:pt idx="0">
                  <c:v>310</c:v>
                </c:pt>
                <c:pt idx="1">
                  <c:v>305</c:v>
                </c:pt>
                <c:pt idx="2">
                  <c:v>300</c:v>
                </c:pt>
                <c:pt idx="3">
                  <c:v>295</c:v>
                </c:pt>
                <c:pt idx="4">
                  <c:v>290</c:v>
                </c:pt>
                <c:pt idx="5">
                  <c:v>285</c:v>
                </c:pt>
                <c:pt idx="6">
                  <c:v>280</c:v>
                </c:pt>
                <c:pt idx="7">
                  <c:v>275</c:v>
                </c:pt>
                <c:pt idx="8">
                  <c:v>270</c:v>
                </c:pt>
                <c:pt idx="9">
                  <c:v>265</c:v>
                </c:pt>
                <c:pt idx="10">
                  <c:v>260</c:v>
                </c:pt>
                <c:pt idx="11">
                  <c:v>255</c:v>
                </c:pt>
                <c:pt idx="12">
                  <c:v>250</c:v>
                </c:pt>
                <c:pt idx="13">
                  <c:v>245</c:v>
                </c:pt>
                <c:pt idx="14">
                  <c:v>240</c:v>
                </c:pt>
                <c:pt idx="15">
                  <c:v>235</c:v>
                </c:pt>
                <c:pt idx="16">
                  <c:v>230</c:v>
                </c:pt>
                <c:pt idx="17">
                  <c:v>225</c:v>
                </c:pt>
                <c:pt idx="18">
                  <c:v>220</c:v>
                </c:pt>
                <c:pt idx="19">
                  <c:v>215</c:v>
                </c:pt>
                <c:pt idx="20">
                  <c:v>210</c:v>
                </c:pt>
                <c:pt idx="21">
                  <c:v>205</c:v>
                </c:pt>
                <c:pt idx="22">
                  <c:v>200</c:v>
                </c:pt>
                <c:pt idx="23">
                  <c:v>195</c:v>
                </c:pt>
                <c:pt idx="24">
                  <c:v>190</c:v>
                </c:pt>
                <c:pt idx="25">
                  <c:v>185</c:v>
                </c:pt>
                <c:pt idx="26">
                  <c:v>180</c:v>
                </c:pt>
                <c:pt idx="27">
                  <c:v>175</c:v>
                </c:pt>
                <c:pt idx="28">
                  <c:v>170</c:v>
                </c:pt>
                <c:pt idx="29">
                  <c:v>165</c:v>
                </c:pt>
                <c:pt idx="30">
                  <c:v>160</c:v>
                </c:pt>
                <c:pt idx="31">
                  <c:v>155</c:v>
                </c:pt>
                <c:pt idx="32">
                  <c:v>150</c:v>
                </c:pt>
                <c:pt idx="33">
                  <c:v>145</c:v>
                </c:pt>
                <c:pt idx="34">
                  <c:v>140</c:v>
                </c:pt>
                <c:pt idx="35">
                  <c:v>135</c:v>
                </c:pt>
                <c:pt idx="36">
                  <c:v>130</c:v>
                </c:pt>
                <c:pt idx="37">
                  <c:v>125</c:v>
                </c:pt>
                <c:pt idx="38">
                  <c:v>120</c:v>
                </c:pt>
                <c:pt idx="39">
                  <c:v>115</c:v>
                </c:pt>
                <c:pt idx="40">
                  <c:v>110</c:v>
                </c:pt>
                <c:pt idx="41">
                  <c:v>105</c:v>
                </c:pt>
                <c:pt idx="42">
                  <c:v>100</c:v>
                </c:pt>
                <c:pt idx="43">
                  <c:v>95</c:v>
                </c:pt>
                <c:pt idx="44">
                  <c:v>90</c:v>
                </c:pt>
                <c:pt idx="45">
                  <c:v>85</c:v>
                </c:pt>
                <c:pt idx="46">
                  <c:v>80</c:v>
                </c:pt>
                <c:pt idx="47">
                  <c:v>75</c:v>
                </c:pt>
                <c:pt idx="48">
                  <c:v>70</c:v>
                </c:pt>
                <c:pt idx="49">
                  <c:v>65</c:v>
                </c:pt>
                <c:pt idx="50">
                  <c:v>60</c:v>
                </c:pt>
                <c:pt idx="51">
                  <c:v>55</c:v>
                </c:pt>
                <c:pt idx="52">
                  <c:v>50</c:v>
                </c:pt>
                <c:pt idx="53">
                  <c:v>45</c:v>
                </c:pt>
                <c:pt idx="54">
                  <c:v>40</c:v>
                </c:pt>
                <c:pt idx="55">
                  <c:v>35</c:v>
                </c:pt>
                <c:pt idx="56">
                  <c:v>31</c:v>
                </c:pt>
                <c:pt idx="57">
                  <c:v>27</c:v>
                </c:pt>
                <c:pt idx="58">
                  <c:v>23</c:v>
                </c:pt>
                <c:pt idx="59">
                  <c:v>19</c:v>
                </c:pt>
                <c:pt idx="60">
                  <c:v>15</c:v>
                </c:pt>
                <c:pt idx="61">
                  <c:v>11</c:v>
                </c:pt>
                <c:pt idx="62">
                  <c:v>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2</c15:sqref>
                        </c15:formulaRef>
                      </c:ext>
                    </c:extLst>
                    <c:strCache>
                      <c:ptCount val="1"/>
                      <c:pt idx="0">
                        <c:v>Drilling depth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4A33-4A28-8BD7-4EDE6703E8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006831"/>
        <c:axId val="83342216"/>
      </c:scatterChart>
      <c:valAx>
        <c:axId val="97649721"/>
        <c:scaling>
          <c:orientation val="minMax"/>
          <c:min val="2.2999999999999998"/>
        </c:scaling>
        <c:delete val="0"/>
        <c:axPos val="b"/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875" b="1" u="none" strike="noStrike">
                    <a:solidFill>
                      <a:srgbClr val="000000"/>
                    </a:solidFill>
                    <a:uFillTx/>
                    <a:latin typeface="Arial"/>
                  </a:rPr>
                  <a:t>Depth of Filtrate Invasion (inch)</a:t>
                </a:r>
              </a:p>
            </c:rich>
          </c:tx>
          <c:layout>
            <c:manualLayout>
              <c:xMode val="edge"/>
              <c:yMode val="edge"/>
              <c:x val="0.33253605856345603"/>
              <c:y val="0.90784364483561997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75" b="1" u="none" strike="noStrike">
                <a:solidFill>
                  <a:srgbClr val="000000"/>
                </a:solidFill>
                <a:uFillTx/>
                <a:latin typeface="Arial"/>
              </a:defRPr>
            </a:pPr>
            <a:endParaRPr lang="en-US"/>
          </a:p>
        </c:txPr>
        <c:crossAx val="18103128"/>
        <c:crosses val="autoZero"/>
        <c:crossBetween val="midCat"/>
        <c:majorUnit val="5"/>
      </c:valAx>
      <c:valAx>
        <c:axId val="18103128"/>
        <c:scaling>
          <c:orientation val="minMax"/>
          <c:min val="20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875" b="1" u="none" strike="noStrike">
                    <a:solidFill>
                      <a:srgbClr val="000000"/>
                    </a:solidFill>
                    <a:uFillTx/>
                    <a:latin typeface="Arial"/>
                  </a:rPr>
                  <a:t>Drilling Time (min)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75" b="1" u="none" strike="noStrike">
                <a:solidFill>
                  <a:srgbClr val="000000"/>
                </a:solidFill>
                <a:uFillTx/>
                <a:latin typeface="Arial"/>
              </a:defRPr>
            </a:pPr>
            <a:endParaRPr lang="en-US"/>
          </a:p>
        </c:txPr>
        <c:crossAx val="97649721"/>
        <c:crosses val="autoZero"/>
        <c:crossBetween val="midCat"/>
      </c:valAx>
      <c:valAx>
        <c:axId val="76006831"/>
        <c:scaling>
          <c:orientation val="minMax"/>
        </c:scaling>
        <c:delete val="1"/>
        <c:axPos val="b"/>
        <c:numFmt formatCode="General" sourceLinked="1"/>
        <c:majorTickMark val="cross"/>
        <c:minorTickMark val="none"/>
        <c:tickLblPos val="nextTo"/>
        <c:crossAx val="83342216"/>
        <c:crosses val="autoZero"/>
        <c:crossBetween val="midCat"/>
      </c:valAx>
      <c:valAx>
        <c:axId val="83342216"/>
        <c:scaling>
          <c:orientation val="minMax"/>
          <c:min val="7"/>
        </c:scaling>
        <c:delete val="0"/>
        <c:axPos val="r"/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875" b="1" u="none" strike="noStrike">
                    <a:solidFill>
                      <a:srgbClr val="000000"/>
                    </a:solidFill>
                    <a:uFillTx/>
                    <a:latin typeface="Arial"/>
                  </a:rPr>
                  <a:t>Drilling Depth (feet)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75" b="1" u="none" strike="noStrike">
                <a:solidFill>
                  <a:srgbClr val="000000"/>
                </a:solidFill>
                <a:uFillTx/>
                <a:latin typeface="Arial"/>
              </a:defRPr>
            </a:pPr>
            <a:endParaRPr lang="en-US"/>
          </a:p>
        </c:txPr>
        <c:crossAx val="76006831"/>
        <c:crosses val="max"/>
        <c:crossBetween val="midCat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legendPos val="r"/>
      <c:layout>
        <c:manualLayout>
          <c:xMode val="edge"/>
          <c:yMode val="edge"/>
          <c:x val="0.25867942306298503"/>
          <c:y val="0.12723272068340699"/>
        </c:manualLayout>
      </c:layout>
      <c:overlay val="0"/>
      <c:spPr>
        <a:solidFill>
          <a:srgbClr val="FFFFFF"/>
        </a:solidFill>
        <a:ln w="0">
          <a:solidFill>
            <a:srgbClr val="000000"/>
          </a:solidFill>
        </a:ln>
      </c:spPr>
      <c:txPr>
        <a:bodyPr/>
        <a:lstStyle/>
        <a:p>
          <a:pPr>
            <a:defRPr sz="875" b="1" u="none" strike="noStrike">
              <a:solidFill>
                <a:srgbClr val="000000"/>
              </a:solidFill>
              <a:uFillTx/>
              <a:latin typeface="Arial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CC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33524883443565"/>
          <c:y val="7.0913339429035896E-2"/>
          <c:w val="0.84479019841700098"/>
          <c:h val="0.77771004774967001"/>
        </c:manualLayout>
      </c:layout>
      <c:scatterChart>
        <c:scatterStyle val="lineMarker"/>
        <c:varyColors val="0"/>
        <c:ser>
          <c:idx val="0"/>
          <c:order val="0"/>
          <c:spPr>
            <a:ln w="0">
              <a:solidFill>
                <a:srgbClr val="000080"/>
              </a:solidFill>
            </a:ln>
          </c:spPr>
          <c:marker>
            <c:symbol val="diamond"/>
            <c:size val="3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5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  <c:pt idx="7">
                  <c:v>35</c:v>
                </c:pt>
                <c:pt idx="8">
                  <c:v>45</c:v>
                </c:pt>
                <c:pt idx="9">
                  <c:v>55</c:v>
                </c:pt>
                <c:pt idx="10">
                  <c:v>65</c:v>
                </c:pt>
                <c:pt idx="11">
                  <c:v>75</c:v>
                </c:pt>
                <c:pt idx="12">
                  <c:v>85</c:v>
                </c:pt>
                <c:pt idx="13">
                  <c:v>95</c:v>
                </c:pt>
                <c:pt idx="14">
                  <c:v>105</c:v>
                </c:pt>
                <c:pt idx="15">
                  <c:v>115</c:v>
                </c:pt>
                <c:pt idx="16">
                  <c:v>125</c:v>
                </c:pt>
                <c:pt idx="17">
                  <c:v>135</c:v>
                </c:pt>
                <c:pt idx="18">
                  <c:v>145</c:v>
                </c:pt>
                <c:pt idx="19">
                  <c:v>155</c:v>
                </c:pt>
                <c:pt idx="20">
                  <c:v>165</c:v>
                </c:pt>
                <c:pt idx="21">
                  <c:v>175</c:v>
                </c:pt>
                <c:pt idx="22">
                  <c:v>185</c:v>
                </c:pt>
                <c:pt idx="23">
                  <c:v>195</c:v>
                </c:pt>
                <c:pt idx="24">
                  <c:v>205</c:v>
                </c:pt>
                <c:pt idx="25">
                  <c:v>215</c:v>
                </c:pt>
                <c:pt idx="26">
                  <c:v>225</c:v>
                </c:pt>
                <c:pt idx="27">
                  <c:v>255</c:v>
                </c:pt>
                <c:pt idx="28">
                  <c:v>355</c:v>
                </c:pt>
                <c:pt idx="29">
                  <c:v>455</c:v>
                </c:pt>
                <c:pt idx="30">
                  <c:v>555</c:v>
                </c:pt>
                <c:pt idx="31">
                  <c:v>655</c:v>
                </c:pt>
                <c:pt idx="32">
                  <c:v>755</c:v>
                </c:pt>
                <c:pt idx="33">
                  <c:v>855</c:v>
                </c:pt>
                <c:pt idx="34">
                  <c:v>955</c:v>
                </c:pt>
                <c:pt idx="35">
                  <c:v>1055</c:v>
                </c:pt>
                <c:pt idx="36">
                  <c:v>1155</c:v>
                </c:pt>
                <c:pt idx="37">
                  <c:v>1255</c:v>
                </c:pt>
                <c:pt idx="38">
                  <c:v>1355</c:v>
                </c:pt>
                <c:pt idx="39">
                  <c:v>1455</c:v>
                </c:pt>
                <c:pt idx="40">
                  <c:v>1555</c:v>
                </c:pt>
                <c:pt idx="41">
                  <c:v>1655</c:v>
                </c:pt>
                <c:pt idx="42">
                  <c:v>1755</c:v>
                </c:pt>
                <c:pt idx="43">
                  <c:v>1855</c:v>
                </c:pt>
                <c:pt idx="44">
                  <c:v>1955</c:v>
                </c:pt>
                <c:pt idx="45">
                  <c:v>2055</c:v>
                </c:pt>
                <c:pt idx="46">
                  <c:v>2155</c:v>
                </c:pt>
                <c:pt idx="47">
                  <c:v>2255</c:v>
                </c:pt>
                <c:pt idx="48">
                  <c:v>2355</c:v>
                </c:pt>
                <c:pt idx="49">
                  <c:v>2455</c:v>
                </c:pt>
                <c:pt idx="50">
                  <c:v>2555</c:v>
                </c:pt>
                <c:pt idx="51">
                  <c:v>2655</c:v>
                </c:pt>
                <c:pt idx="52">
                  <c:v>2755</c:v>
                </c:pt>
                <c:pt idx="53">
                  <c:v>2855</c:v>
                </c:pt>
              </c:numCache>
            </c:numRef>
          </c:xVal>
          <c:yVal>
            <c:numRef>
              <c:f>1</c:f>
              <c:numCache>
                <c:formatCode>General</c:formatCode>
                <c:ptCount val="54"/>
                <c:pt idx="0">
                  <c:v>343.54586691227399</c:v>
                </c:pt>
                <c:pt idx="1">
                  <c:v>340.54586691227399</c:v>
                </c:pt>
                <c:pt idx="2">
                  <c:v>337.54586691227399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1</c15:sqref>
                        </c15:formulaRef>
                      </c:ext>
                    </c:extLst>
                    <c:strCache>
                      <c:ptCount val="1"/>
                      <c:pt idx="0">
                        <c:v>pressure drop across sand face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71AA-4735-9886-01BC255EDB74}"/>
            </c:ext>
          </c:extLst>
        </c:ser>
        <c:ser>
          <c:idx val="1"/>
          <c:order val="1"/>
          <c:spPr>
            <a:ln w="0">
              <a:solidFill>
                <a:srgbClr val="FF00FF"/>
              </a:solidFill>
            </a:ln>
          </c:spPr>
          <c:marker>
            <c:symbol val="square"/>
            <c:size val="3"/>
            <c:spPr>
              <a:solidFill>
                <a:srgbClr val="FF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5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  <c:pt idx="7">
                  <c:v>35</c:v>
                </c:pt>
                <c:pt idx="8">
                  <c:v>45</c:v>
                </c:pt>
                <c:pt idx="9">
                  <c:v>55</c:v>
                </c:pt>
                <c:pt idx="10">
                  <c:v>65</c:v>
                </c:pt>
                <c:pt idx="11">
                  <c:v>75</c:v>
                </c:pt>
                <c:pt idx="12">
                  <c:v>85</c:v>
                </c:pt>
                <c:pt idx="13">
                  <c:v>95</c:v>
                </c:pt>
                <c:pt idx="14">
                  <c:v>105</c:v>
                </c:pt>
                <c:pt idx="15">
                  <c:v>115</c:v>
                </c:pt>
                <c:pt idx="16">
                  <c:v>125</c:v>
                </c:pt>
                <c:pt idx="17">
                  <c:v>135</c:v>
                </c:pt>
                <c:pt idx="18">
                  <c:v>145</c:v>
                </c:pt>
                <c:pt idx="19">
                  <c:v>155</c:v>
                </c:pt>
                <c:pt idx="20">
                  <c:v>165</c:v>
                </c:pt>
                <c:pt idx="21">
                  <c:v>175</c:v>
                </c:pt>
                <c:pt idx="22">
                  <c:v>185</c:v>
                </c:pt>
                <c:pt idx="23">
                  <c:v>195</c:v>
                </c:pt>
                <c:pt idx="24">
                  <c:v>205</c:v>
                </c:pt>
                <c:pt idx="25">
                  <c:v>215</c:v>
                </c:pt>
                <c:pt idx="26">
                  <c:v>225</c:v>
                </c:pt>
                <c:pt idx="27">
                  <c:v>255</c:v>
                </c:pt>
                <c:pt idx="28">
                  <c:v>355</c:v>
                </c:pt>
                <c:pt idx="29">
                  <c:v>455</c:v>
                </c:pt>
                <c:pt idx="30">
                  <c:v>555</c:v>
                </c:pt>
                <c:pt idx="31">
                  <c:v>655</c:v>
                </c:pt>
                <c:pt idx="32">
                  <c:v>755</c:v>
                </c:pt>
                <c:pt idx="33">
                  <c:v>855</c:v>
                </c:pt>
                <c:pt idx="34">
                  <c:v>955</c:v>
                </c:pt>
                <c:pt idx="35">
                  <c:v>1055</c:v>
                </c:pt>
                <c:pt idx="36">
                  <c:v>1155</c:v>
                </c:pt>
                <c:pt idx="37">
                  <c:v>1255</c:v>
                </c:pt>
                <c:pt idx="38">
                  <c:v>1355</c:v>
                </c:pt>
                <c:pt idx="39">
                  <c:v>1455</c:v>
                </c:pt>
                <c:pt idx="40">
                  <c:v>1555</c:v>
                </c:pt>
                <c:pt idx="41">
                  <c:v>1655</c:v>
                </c:pt>
                <c:pt idx="42">
                  <c:v>1755</c:v>
                </c:pt>
                <c:pt idx="43">
                  <c:v>1855</c:v>
                </c:pt>
                <c:pt idx="44">
                  <c:v>1955</c:v>
                </c:pt>
                <c:pt idx="45">
                  <c:v>2055</c:v>
                </c:pt>
                <c:pt idx="46">
                  <c:v>2155</c:v>
                </c:pt>
                <c:pt idx="47">
                  <c:v>2255</c:v>
                </c:pt>
                <c:pt idx="48">
                  <c:v>2355</c:v>
                </c:pt>
                <c:pt idx="49">
                  <c:v>2455</c:v>
                </c:pt>
                <c:pt idx="50">
                  <c:v>2555</c:v>
                </c:pt>
                <c:pt idx="51">
                  <c:v>2655</c:v>
                </c:pt>
                <c:pt idx="52">
                  <c:v>2755</c:v>
                </c:pt>
                <c:pt idx="53">
                  <c:v>2855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54"/>
                <c:pt idx="0">
                  <c:v>0</c:v>
                </c:pt>
                <c:pt idx="1">
                  <c:v>3</c:v>
                </c:pt>
                <c:pt idx="2">
                  <c:v>6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2</c15:sqref>
                        </c15:formulaRef>
                      </c:ext>
                    </c:extLst>
                    <c:strCache>
                      <c:ptCount val="1"/>
                      <c:pt idx="0">
                        <c:v>pressure drop across filter cake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71AA-4735-9886-01BC255EDB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871426"/>
        <c:axId val="73239067"/>
      </c:scatterChart>
      <c:valAx>
        <c:axId val="50871426"/>
        <c:scaling>
          <c:orientation val="minMax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1125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Time (min)</a:t>
                </a:r>
              </a:p>
            </c:rich>
          </c:tx>
          <c:layout>
            <c:manualLayout>
              <c:xMode val="edge"/>
              <c:yMode val="edge"/>
              <c:x val="0.467743684267592"/>
              <c:y val="0.91984151173422701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125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73239067"/>
        <c:crosses val="autoZero"/>
        <c:crossBetween val="midCat"/>
      </c:valAx>
      <c:valAx>
        <c:axId val="73239067"/>
        <c:scaling>
          <c:orientation val="minMax"/>
          <c:max val="250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1125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Filtration Pressure (psi)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125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50871426"/>
        <c:crosses val="autoZero"/>
        <c:crossBetween val="midCat"/>
      </c:valAx>
      <c:spPr>
        <a:gradFill>
          <a:gsLst>
            <a:gs pos="0">
              <a:srgbClr val="FF0000"/>
            </a:gs>
            <a:gs pos="100000">
              <a:srgbClr val="FFFFCC"/>
            </a:gs>
          </a:gsLst>
          <a:path path="rect">
            <a:fillToRect r="100000" b="100000"/>
          </a:path>
        </a:gradFill>
        <a:ln w="12600">
          <a:solidFill>
            <a:srgbClr val="808080"/>
          </a:solidFill>
          <a:round/>
        </a:ln>
      </c:spPr>
    </c:plotArea>
    <c:legend>
      <c:legendPos val="r"/>
      <c:layout>
        <c:manualLayout>
          <c:xMode val="edge"/>
          <c:yMode val="edge"/>
          <c:x val="0.16854602623875101"/>
          <c:y val="9.2451488367367701E-3"/>
          <c:w val="0.75733261046353995"/>
          <c:h val="7.5187969924811998E-2"/>
        </c:manualLayout>
      </c:layout>
      <c:overlay val="0"/>
      <c:spPr>
        <a:solidFill>
          <a:srgbClr val="FFFFFF"/>
        </a:solidFill>
        <a:ln w="0">
          <a:solidFill>
            <a:srgbClr val="000000"/>
          </a:solidFill>
        </a:ln>
      </c:spPr>
      <c:txPr>
        <a:bodyPr/>
        <a:lstStyle/>
        <a:p>
          <a:pPr>
            <a:defRPr sz="1125" b="1" u="none" strike="noStrike">
              <a:solidFill>
                <a:srgbClr val="000000"/>
              </a:solidFill>
              <a:uFillTx/>
              <a:latin typeface="Times New Roman"/>
            </a:defRPr>
          </a:pPr>
          <a:endParaRPr lang="en-US"/>
        </a:p>
      </c:txPr>
    </c:legend>
    <c:plotVisOnly val="1"/>
    <c:dispBlanksAs val="gap"/>
    <c:showDLblsOverMax val="1"/>
  </c:chart>
  <c:spPr>
    <a:blipFill rotWithShape="0">
      <a:blip xmlns:r="http://schemas.openxmlformats.org/officeDocument/2006/relationships" r:embed="rId1"/>
      <a:tile tx="0" ty="0" sx="100000" sy="100000" algn="ctr"/>
    </a:blip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5024831369060901"/>
          <c:y val="9.6468324859145305E-2"/>
          <c:w val="0.79252835223482299"/>
          <c:h val="0.74948467775182104"/>
        </c:manualLayout>
      </c:layout>
      <c:scatterChart>
        <c:scatterStyle val="lineMarker"/>
        <c:varyColors val="0"/>
        <c:ser>
          <c:idx val="0"/>
          <c:order val="0"/>
          <c:spPr>
            <a:ln w="0">
              <a:solidFill>
                <a:srgbClr val="FF0000"/>
              </a:solidFill>
            </a:ln>
          </c:spPr>
          <c:marker>
            <c:symbol val="diamond"/>
            <c:size val="3"/>
            <c:spPr>
              <a:solidFill>
                <a:srgbClr val="FF0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5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  <c:pt idx="7">
                  <c:v>35</c:v>
                </c:pt>
                <c:pt idx="8">
                  <c:v>45</c:v>
                </c:pt>
                <c:pt idx="9">
                  <c:v>55</c:v>
                </c:pt>
                <c:pt idx="10">
                  <c:v>65</c:v>
                </c:pt>
                <c:pt idx="11">
                  <c:v>75</c:v>
                </c:pt>
                <c:pt idx="12">
                  <c:v>85</c:v>
                </c:pt>
                <c:pt idx="13">
                  <c:v>95</c:v>
                </c:pt>
                <c:pt idx="14">
                  <c:v>105</c:v>
                </c:pt>
                <c:pt idx="15">
                  <c:v>115</c:v>
                </c:pt>
                <c:pt idx="16">
                  <c:v>125</c:v>
                </c:pt>
                <c:pt idx="17">
                  <c:v>135</c:v>
                </c:pt>
                <c:pt idx="18">
                  <c:v>145</c:v>
                </c:pt>
                <c:pt idx="19">
                  <c:v>155</c:v>
                </c:pt>
                <c:pt idx="20">
                  <c:v>165</c:v>
                </c:pt>
                <c:pt idx="21">
                  <c:v>175</c:v>
                </c:pt>
                <c:pt idx="22">
                  <c:v>185</c:v>
                </c:pt>
                <c:pt idx="23">
                  <c:v>195</c:v>
                </c:pt>
                <c:pt idx="24">
                  <c:v>205</c:v>
                </c:pt>
                <c:pt idx="25">
                  <c:v>215</c:v>
                </c:pt>
                <c:pt idx="26">
                  <c:v>225</c:v>
                </c:pt>
                <c:pt idx="27">
                  <c:v>255</c:v>
                </c:pt>
                <c:pt idx="28">
                  <c:v>355</c:v>
                </c:pt>
                <c:pt idx="29">
                  <c:v>455</c:v>
                </c:pt>
                <c:pt idx="30">
                  <c:v>555</c:v>
                </c:pt>
                <c:pt idx="31">
                  <c:v>655</c:v>
                </c:pt>
                <c:pt idx="32">
                  <c:v>755</c:v>
                </c:pt>
                <c:pt idx="33">
                  <c:v>855</c:v>
                </c:pt>
                <c:pt idx="34">
                  <c:v>955</c:v>
                </c:pt>
                <c:pt idx="35">
                  <c:v>1055</c:v>
                </c:pt>
                <c:pt idx="36">
                  <c:v>1155</c:v>
                </c:pt>
                <c:pt idx="37">
                  <c:v>1255</c:v>
                </c:pt>
                <c:pt idx="38">
                  <c:v>1355</c:v>
                </c:pt>
                <c:pt idx="39">
                  <c:v>1455</c:v>
                </c:pt>
                <c:pt idx="40">
                  <c:v>1555</c:v>
                </c:pt>
                <c:pt idx="41">
                  <c:v>1655</c:v>
                </c:pt>
                <c:pt idx="42">
                  <c:v>1755</c:v>
                </c:pt>
                <c:pt idx="43">
                  <c:v>1855</c:v>
                </c:pt>
                <c:pt idx="44">
                  <c:v>1955</c:v>
                </c:pt>
                <c:pt idx="45">
                  <c:v>2055</c:v>
                </c:pt>
                <c:pt idx="46">
                  <c:v>2155</c:v>
                </c:pt>
                <c:pt idx="47">
                  <c:v>2255</c:v>
                </c:pt>
                <c:pt idx="48">
                  <c:v>2355</c:v>
                </c:pt>
                <c:pt idx="49">
                  <c:v>2455</c:v>
                </c:pt>
                <c:pt idx="50">
                  <c:v>2555</c:v>
                </c:pt>
                <c:pt idx="51">
                  <c:v>2655</c:v>
                </c:pt>
                <c:pt idx="52">
                  <c:v>2755</c:v>
                </c:pt>
                <c:pt idx="53">
                  <c:v>2855</c:v>
                </c:pt>
              </c:numCache>
            </c:numRef>
          </c:xVal>
          <c:yVal>
            <c:numRef>
              <c:f>1</c:f>
              <c:numCache>
                <c:formatCode>General</c:formatCode>
                <c:ptCount val="54"/>
                <c:pt idx="0">
                  <c:v>0</c:v>
                </c:pt>
                <c:pt idx="1">
                  <c:v>0.38355455572728703</c:v>
                </c:pt>
                <c:pt idx="2">
                  <c:v>0.71342304852313998</c:v>
                </c:pt>
                <c:pt idx="3">
                  <c:v>1.52230912905746</c:v>
                </c:pt>
                <c:pt idx="4">
                  <c:v>2.5621621191363899</c:v>
                </c:pt>
                <c:pt idx="5">
                  <c:v>4.1340562764427</c:v>
                </c:pt>
                <c:pt idx="6">
                  <c:v>5.3783446384571398</c:v>
                </c:pt>
                <c:pt idx="7">
                  <c:v>5.9275867200864303</c:v>
                </c:pt>
                <c:pt idx="8">
                  <c:v>6.92524254044526</c:v>
                </c:pt>
                <c:pt idx="9">
                  <c:v>7.8220811240315502</c:v>
                </c:pt>
                <c:pt idx="10">
                  <c:v>8.6436178439635807</c:v>
                </c:pt>
                <c:pt idx="11">
                  <c:v>9.4061353669690799</c:v>
                </c:pt>
                <c:pt idx="12">
                  <c:v>10.120777500263999</c:v>
                </c:pt>
                <c:pt idx="13">
                  <c:v>10.795568389571001</c:v>
                </c:pt>
                <c:pt idx="14">
                  <c:v>11.436513447076701</c:v>
                </c:pt>
                <c:pt idx="15">
                  <c:v>12.048246040511801</c:v>
                </c:pt>
                <c:pt idx="16">
                  <c:v>12.634429951864799</c:v>
                </c:pt>
                <c:pt idx="17">
                  <c:v>13.1980216876185</c:v>
                </c:pt>
                <c:pt idx="18">
                  <c:v>13.741448040717399</c:v>
                </c:pt>
                <c:pt idx="19">
                  <c:v>14.266730145296201</c:v>
                </c:pt>
                <c:pt idx="20">
                  <c:v>14.7755725035294</c:v>
                </c:pt>
                <c:pt idx="21">
                  <c:v>15.2694283640905</c:v>
                </c:pt>
                <c:pt idx="22">
                  <c:v>15.749548704790699</c:v>
                </c:pt>
                <c:pt idx="23">
                  <c:v>16.217019581287701</c:v>
                </c:pt>
                <c:pt idx="24">
                  <c:v>16.672791050785701</c:v>
                </c:pt>
                <c:pt idx="25">
                  <c:v>17.117699883290999</c:v>
                </c:pt>
                <c:pt idx="26">
                  <c:v>17.552487617407401</c:v>
                </c:pt>
                <c:pt idx="27">
                  <c:v>18.802397497228998</c:v>
                </c:pt>
                <c:pt idx="28">
                  <c:v>22.512710450816101</c:v>
                </c:pt>
                <c:pt idx="29">
                  <c:v>25.7309611383807</c:v>
                </c:pt>
                <c:pt idx="30">
                  <c:v>28.612733260380601</c:v>
                </c:pt>
                <c:pt idx="31">
                  <c:v>31.245641363704198</c:v>
                </c:pt>
                <c:pt idx="32">
                  <c:v>33.684813320190898</c:v>
                </c:pt>
                <c:pt idx="33">
                  <c:v>35.967606373192702</c:v>
                </c:pt>
                <c:pt idx="34">
                  <c:v>38.120722397815001</c:v>
                </c:pt>
                <c:pt idx="35">
                  <c:v>40.1640320384017</c:v>
                </c:pt>
                <c:pt idx="36">
                  <c:v>42.112796666593198</c:v>
                </c:pt>
                <c:pt idx="37">
                  <c:v>43.979039374056299</c:v>
                </c:pt>
                <c:pt idx="38">
                  <c:v>45.772432361916202</c:v>
                </c:pt>
                <c:pt idx="39">
                  <c:v>47.500894191788902</c:v>
                </c:pt>
                <c:pt idx="40">
                  <c:v>49.171005049730198</c:v>
                </c:pt>
                <c:pt idx="41">
                  <c:v>50.7883035322442</c:v>
                </c:pt>
                <c:pt idx="42">
                  <c:v>52.3575038226111</c:v>
                </c:pt>
                <c:pt idx="43">
                  <c:v>53.882657898833003</c:v>
                </c:pt>
                <c:pt idx="44">
                  <c:v>55.3672788778659</c:v>
                </c:pt>
                <c:pt idx="45">
                  <c:v>56.814436304904497</c:v>
                </c:pt>
                <c:pt idx="46">
                  <c:v>58.226830813820001</c:v>
                </c:pt>
                <c:pt idx="47">
                  <c:v>59.947055538520402</c:v>
                </c:pt>
                <c:pt idx="48">
                  <c:v>60.956632803082499</c:v>
                </c:pt>
                <c:pt idx="49">
                  <c:v>62.278074379332402</c:v>
                </c:pt>
                <c:pt idx="50">
                  <c:v>63.572891334207803</c:v>
                </c:pt>
                <c:pt idx="51">
                  <c:v>64.842630932217602</c:v>
                </c:pt>
                <c:pt idx="52">
                  <c:v>66.088696139326103</c:v>
                </c:pt>
                <c:pt idx="53">
                  <c:v>67.312363788622307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1</c15:sqref>
                        </c15:formulaRef>
                      </c:ext>
                    </c:extLst>
                    <c:strCache>
                      <c:ptCount val="1"/>
                      <c:pt idx="0">
                        <c:v>Column BZ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7127-4BED-A96F-BF6D5BBD98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00546"/>
        <c:axId val="90317890"/>
      </c:scatterChart>
      <c:valAx>
        <c:axId val="61800546"/>
        <c:scaling>
          <c:orientation val="minMax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110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Time (min)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100" b="0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90317890"/>
        <c:crosses val="autoZero"/>
        <c:crossBetween val="midCat"/>
      </c:valAx>
      <c:valAx>
        <c:axId val="90317890"/>
        <c:scaling>
          <c:orientation val="minMax"/>
          <c:max val="80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110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Fluid Loss (cc)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100" b="0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61800546"/>
        <c:crosses val="autoZero"/>
        <c:crossBetween val="midCat"/>
      </c:valAx>
      <c:spPr>
        <a:gradFill>
          <a:gsLst>
            <a:gs pos="0">
              <a:srgbClr val="FFCC99"/>
            </a:gs>
            <a:gs pos="100000">
              <a:srgbClr val="FFFF00"/>
            </a:gs>
          </a:gsLst>
          <a:lin ang="5400000"/>
        </a:gradFill>
        <a:ln w="12600">
          <a:solidFill>
            <a:srgbClr val="808080"/>
          </a:solidFill>
          <a:round/>
        </a:ln>
      </c:spPr>
    </c:plotArea>
    <c:plotVisOnly val="1"/>
    <c:dispBlanksAs val="gap"/>
    <c:showDLblsOverMax val="1"/>
  </c:chart>
  <c:spPr>
    <a:blipFill rotWithShape="0">
      <a:blip xmlns:r="http://schemas.openxmlformats.org/officeDocument/2006/relationships" r:embed="rId1"/>
      <a:tile tx="0" ty="0" sx="100000" sy="100000" algn="ctr"/>
    </a:blip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5339793527139101"/>
          <c:y val="5.6873733158459498E-2"/>
          <c:w val="0.81664449933497996"/>
          <c:h val="0.74973172767378105"/>
        </c:manualLayout>
      </c:layout>
      <c:scatterChart>
        <c:scatterStyle val="lineMarker"/>
        <c:varyColors val="0"/>
        <c:ser>
          <c:idx val="0"/>
          <c:order val="0"/>
          <c:spPr>
            <a:ln w="0">
              <a:solidFill>
                <a:srgbClr val="000080"/>
              </a:solidFill>
            </a:ln>
          </c:spPr>
          <c:marker>
            <c:symbol val="diamond"/>
            <c:size val="3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5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  <c:pt idx="7">
                  <c:v>35</c:v>
                </c:pt>
                <c:pt idx="8">
                  <c:v>45</c:v>
                </c:pt>
                <c:pt idx="9">
                  <c:v>55</c:v>
                </c:pt>
                <c:pt idx="10">
                  <c:v>65</c:v>
                </c:pt>
                <c:pt idx="11">
                  <c:v>75</c:v>
                </c:pt>
                <c:pt idx="12">
                  <c:v>85</c:v>
                </c:pt>
                <c:pt idx="13">
                  <c:v>95</c:v>
                </c:pt>
                <c:pt idx="14">
                  <c:v>105</c:v>
                </c:pt>
                <c:pt idx="15">
                  <c:v>115</c:v>
                </c:pt>
                <c:pt idx="16">
                  <c:v>125</c:v>
                </c:pt>
                <c:pt idx="17">
                  <c:v>135</c:v>
                </c:pt>
                <c:pt idx="18">
                  <c:v>145</c:v>
                </c:pt>
                <c:pt idx="19">
                  <c:v>155</c:v>
                </c:pt>
                <c:pt idx="20">
                  <c:v>165</c:v>
                </c:pt>
                <c:pt idx="21">
                  <c:v>175</c:v>
                </c:pt>
                <c:pt idx="22">
                  <c:v>185</c:v>
                </c:pt>
                <c:pt idx="23">
                  <c:v>195</c:v>
                </c:pt>
                <c:pt idx="24">
                  <c:v>205</c:v>
                </c:pt>
                <c:pt idx="25">
                  <c:v>215</c:v>
                </c:pt>
                <c:pt idx="26">
                  <c:v>225</c:v>
                </c:pt>
                <c:pt idx="27">
                  <c:v>255</c:v>
                </c:pt>
                <c:pt idx="28">
                  <c:v>355</c:v>
                </c:pt>
                <c:pt idx="29">
                  <c:v>455</c:v>
                </c:pt>
                <c:pt idx="30">
                  <c:v>555</c:v>
                </c:pt>
                <c:pt idx="31">
                  <c:v>655</c:v>
                </c:pt>
                <c:pt idx="32">
                  <c:v>755</c:v>
                </c:pt>
                <c:pt idx="33">
                  <c:v>855</c:v>
                </c:pt>
                <c:pt idx="34">
                  <c:v>955</c:v>
                </c:pt>
                <c:pt idx="35">
                  <c:v>1055</c:v>
                </c:pt>
                <c:pt idx="36">
                  <c:v>1155</c:v>
                </c:pt>
                <c:pt idx="37">
                  <c:v>1255</c:v>
                </c:pt>
                <c:pt idx="38">
                  <c:v>1355</c:v>
                </c:pt>
                <c:pt idx="39">
                  <c:v>1455</c:v>
                </c:pt>
                <c:pt idx="40">
                  <c:v>1555</c:v>
                </c:pt>
                <c:pt idx="41">
                  <c:v>1655</c:v>
                </c:pt>
                <c:pt idx="42">
                  <c:v>1755</c:v>
                </c:pt>
                <c:pt idx="43">
                  <c:v>1855</c:v>
                </c:pt>
                <c:pt idx="44">
                  <c:v>1955</c:v>
                </c:pt>
                <c:pt idx="45">
                  <c:v>2055</c:v>
                </c:pt>
                <c:pt idx="46">
                  <c:v>2155</c:v>
                </c:pt>
                <c:pt idx="47">
                  <c:v>2255</c:v>
                </c:pt>
                <c:pt idx="48">
                  <c:v>2355</c:v>
                </c:pt>
                <c:pt idx="49">
                  <c:v>2455</c:v>
                </c:pt>
                <c:pt idx="50">
                  <c:v>2555</c:v>
                </c:pt>
                <c:pt idx="51">
                  <c:v>2655</c:v>
                </c:pt>
                <c:pt idx="52">
                  <c:v>2755</c:v>
                </c:pt>
                <c:pt idx="53">
                  <c:v>2855</c:v>
                </c:pt>
                <c:pt idx="54">
                  <c:v>3600</c:v>
                </c:pt>
              </c:numCache>
            </c:numRef>
          </c:xVal>
          <c:yVal>
            <c:numRef>
              <c:f>1</c:f>
              <c:numCache>
                <c:formatCode>General</c:formatCode>
                <c:ptCount val="55"/>
                <c:pt idx="0">
                  <c:v>0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1</c15:sqref>
                        </c15:formulaRef>
                      </c:ext>
                    </c:extLst>
                    <c:strCache>
                      <c:ptCount val="1"/>
                      <c:pt idx="0">
                        <c:v>Dynamic Filtration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FF4F-4010-80E0-C9D6381339EF}"/>
            </c:ext>
          </c:extLst>
        </c:ser>
        <c:ser>
          <c:idx val="1"/>
          <c:order val="1"/>
          <c:spPr>
            <a:ln w="0">
              <a:solidFill>
                <a:srgbClr val="FF00FF"/>
              </a:solidFill>
            </a:ln>
          </c:spPr>
          <c:marker>
            <c:symbol val="square"/>
            <c:size val="3"/>
            <c:spPr>
              <a:solidFill>
                <a:srgbClr val="FF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2</c:f>
              <c:numCache>
                <c:formatCode>General</c:formatCode>
                <c:ptCount val="5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  <c:pt idx="7">
                  <c:v>35</c:v>
                </c:pt>
                <c:pt idx="8">
                  <c:v>45</c:v>
                </c:pt>
                <c:pt idx="9">
                  <c:v>55</c:v>
                </c:pt>
                <c:pt idx="10">
                  <c:v>65</c:v>
                </c:pt>
                <c:pt idx="11">
                  <c:v>75</c:v>
                </c:pt>
                <c:pt idx="12">
                  <c:v>85</c:v>
                </c:pt>
                <c:pt idx="13">
                  <c:v>95</c:v>
                </c:pt>
                <c:pt idx="14">
                  <c:v>105</c:v>
                </c:pt>
                <c:pt idx="15">
                  <c:v>115</c:v>
                </c:pt>
                <c:pt idx="16">
                  <c:v>125</c:v>
                </c:pt>
                <c:pt idx="17">
                  <c:v>135</c:v>
                </c:pt>
                <c:pt idx="18">
                  <c:v>145</c:v>
                </c:pt>
                <c:pt idx="19">
                  <c:v>155</c:v>
                </c:pt>
                <c:pt idx="20">
                  <c:v>165</c:v>
                </c:pt>
                <c:pt idx="21">
                  <c:v>175</c:v>
                </c:pt>
                <c:pt idx="22">
                  <c:v>185</c:v>
                </c:pt>
                <c:pt idx="23">
                  <c:v>195</c:v>
                </c:pt>
                <c:pt idx="24">
                  <c:v>205</c:v>
                </c:pt>
                <c:pt idx="25">
                  <c:v>215</c:v>
                </c:pt>
                <c:pt idx="26">
                  <c:v>225</c:v>
                </c:pt>
                <c:pt idx="27">
                  <c:v>255</c:v>
                </c:pt>
                <c:pt idx="28">
                  <c:v>355</c:v>
                </c:pt>
                <c:pt idx="29">
                  <c:v>455</c:v>
                </c:pt>
                <c:pt idx="30">
                  <c:v>555</c:v>
                </c:pt>
                <c:pt idx="31">
                  <c:v>655</c:v>
                </c:pt>
                <c:pt idx="32">
                  <c:v>755</c:v>
                </c:pt>
                <c:pt idx="33">
                  <c:v>855</c:v>
                </c:pt>
                <c:pt idx="34">
                  <c:v>955</c:v>
                </c:pt>
                <c:pt idx="35">
                  <c:v>1055</c:v>
                </c:pt>
                <c:pt idx="36">
                  <c:v>1155</c:v>
                </c:pt>
                <c:pt idx="37">
                  <c:v>1255</c:v>
                </c:pt>
                <c:pt idx="38">
                  <c:v>1355</c:v>
                </c:pt>
                <c:pt idx="39">
                  <c:v>1455</c:v>
                </c:pt>
                <c:pt idx="40">
                  <c:v>1555</c:v>
                </c:pt>
                <c:pt idx="41">
                  <c:v>1655</c:v>
                </c:pt>
                <c:pt idx="42">
                  <c:v>1755</c:v>
                </c:pt>
                <c:pt idx="43">
                  <c:v>1855</c:v>
                </c:pt>
                <c:pt idx="44">
                  <c:v>1955</c:v>
                </c:pt>
                <c:pt idx="45">
                  <c:v>2055</c:v>
                </c:pt>
                <c:pt idx="46">
                  <c:v>2155</c:v>
                </c:pt>
                <c:pt idx="47">
                  <c:v>2255</c:v>
                </c:pt>
                <c:pt idx="48">
                  <c:v>2355</c:v>
                </c:pt>
                <c:pt idx="49">
                  <c:v>2455</c:v>
                </c:pt>
                <c:pt idx="50">
                  <c:v>2555</c:v>
                </c:pt>
                <c:pt idx="51">
                  <c:v>2655</c:v>
                </c:pt>
                <c:pt idx="52">
                  <c:v>2755</c:v>
                </c:pt>
                <c:pt idx="53">
                  <c:v>2855</c:v>
                </c:pt>
              </c:numCache>
            </c:numRef>
          </c:xVal>
          <c:yVal>
            <c:numRef>
              <c:f>3</c:f>
              <c:numCache>
                <c:formatCode>General</c:formatCode>
                <c:ptCount val="55"/>
                <c:pt idx="0">
                  <c:v>0</c:v>
                </c:pt>
                <c:pt idx="1">
                  <c:v>0.38355455572728703</c:v>
                </c:pt>
                <c:pt idx="2">
                  <c:v>0.71342304852313998</c:v>
                </c:pt>
                <c:pt idx="3">
                  <c:v>1.52230912905746</c:v>
                </c:pt>
                <c:pt idx="4">
                  <c:v>2.5621621191363899</c:v>
                </c:pt>
                <c:pt idx="5">
                  <c:v>4.1340562764427</c:v>
                </c:pt>
                <c:pt idx="6">
                  <c:v>5.3783446384571398</c:v>
                </c:pt>
                <c:pt idx="7">
                  <c:v>5.9275867200864303</c:v>
                </c:pt>
                <c:pt idx="8">
                  <c:v>6.92524254044526</c:v>
                </c:pt>
                <c:pt idx="9">
                  <c:v>7.8220811240315502</c:v>
                </c:pt>
                <c:pt idx="10">
                  <c:v>8.6436178439635807</c:v>
                </c:pt>
                <c:pt idx="11">
                  <c:v>9.4061353669690799</c:v>
                </c:pt>
                <c:pt idx="12">
                  <c:v>10.120777500263999</c:v>
                </c:pt>
                <c:pt idx="13">
                  <c:v>10.795568389571001</c:v>
                </c:pt>
                <c:pt idx="14">
                  <c:v>11.436513447076701</c:v>
                </c:pt>
                <c:pt idx="15">
                  <c:v>12.048246040511801</c:v>
                </c:pt>
                <c:pt idx="16">
                  <c:v>12.634429951864799</c:v>
                </c:pt>
                <c:pt idx="17">
                  <c:v>13.1980216876185</c:v>
                </c:pt>
                <c:pt idx="18">
                  <c:v>13.741448040717399</c:v>
                </c:pt>
                <c:pt idx="19">
                  <c:v>14.266730145296201</c:v>
                </c:pt>
                <c:pt idx="20">
                  <c:v>14.7755725035294</c:v>
                </c:pt>
                <c:pt idx="21">
                  <c:v>15.2694283640905</c:v>
                </c:pt>
                <c:pt idx="22">
                  <c:v>15.749548704790699</c:v>
                </c:pt>
                <c:pt idx="23">
                  <c:v>16.217019581287701</c:v>
                </c:pt>
                <c:pt idx="24">
                  <c:v>16.672791050785701</c:v>
                </c:pt>
                <c:pt idx="25">
                  <c:v>17.117699883290999</c:v>
                </c:pt>
                <c:pt idx="26">
                  <c:v>17.552487617407401</c:v>
                </c:pt>
                <c:pt idx="27">
                  <c:v>18.802397497228998</c:v>
                </c:pt>
                <c:pt idx="28">
                  <c:v>22.512710450816101</c:v>
                </c:pt>
                <c:pt idx="29">
                  <c:v>25.7309611383807</c:v>
                </c:pt>
                <c:pt idx="30">
                  <c:v>28.612733260380601</c:v>
                </c:pt>
                <c:pt idx="31">
                  <c:v>31.245641363704198</c:v>
                </c:pt>
                <c:pt idx="32">
                  <c:v>33.684813320190898</c:v>
                </c:pt>
                <c:pt idx="33">
                  <c:v>35.967606373192702</c:v>
                </c:pt>
                <c:pt idx="34">
                  <c:v>38.120722397815001</c:v>
                </c:pt>
                <c:pt idx="35">
                  <c:v>40.1640320384017</c:v>
                </c:pt>
                <c:pt idx="36">
                  <c:v>42.112796666593198</c:v>
                </c:pt>
                <c:pt idx="37">
                  <c:v>43.979039374056299</c:v>
                </c:pt>
                <c:pt idx="38">
                  <c:v>45.772432361916202</c:v>
                </c:pt>
                <c:pt idx="39">
                  <c:v>47.500894191788902</c:v>
                </c:pt>
                <c:pt idx="40">
                  <c:v>49.171005049730198</c:v>
                </c:pt>
                <c:pt idx="41">
                  <c:v>50.7883035322442</c:v>
                </c:pt>
                <c:pt idx="42">
                  <c:v>52.3575038226111</c:v>
                </c:pt>
                <c:pt idx="43">
                  <c:v>53.882657898833003</c:v>
                </c:pt>
                <c:pt idx="44">
                  <c:v>55.3672788778659</c:v>
                </c:pt>
                <c:pt idx="45">
                  <c:v>56.814436304904497</c:v>
                </c:pt>
                <c:pt idx="46">
                  <c:v>58.226830813820001</c:v>
                </c:pt>
                <c:pt idx="47">
                  <c:v>59.947055538520402</c:v>
                </c:pt>
                <c:pt idx="48">
                  <c:v>60.956632803082499</c:v>
                </c:pt>
                <c:pt idx="49">
                  <c:v>62.278074379332402</c:v>
                </c:pt>
                <c:pt idx="50">
                  <c:v>63.572891334207803</c:v>
                </c:pt>
                <c:pt idx="51">
                  <c:v>64.842630932217602</c:v>
                </c:pt>
                <c:pt idx="52">
                  <c:v>66.088696139326103</c:v>
                </c:pt>
                <c:pt idx="53">
                  <c:v>67.312363788622307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3</c15:sqref>
                        </c15:formulaRef>
                      </c:ext>
                    </c:extLst>
                    <c:strCache>
                      <c:ptCount val="1"/>
                      <c:pt idx="0">
                        <c:v>Static Filtration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FF4F-4010-80E0-C9D6381339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85857"/>
        <c:axId val="97087651"/>
      </c:scatterChart>
      <c:valAx>
        <c:axId val="15785857"/>
        <c:scaling>
          <c:orientation val="minMax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120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Time (min)</a:t>
                </a:r>
              </a:p>
            </c:rich>
          </c:tx>
          <c:layout>
            <c:manualLayout>
              <c:xMode val="edge"/>
              <c:yMode val="edge"/>
              <c:x val="0.492241433909684"/>
              <c:y val="0.89292953380231299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200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97087651"/>
        <c:crosses val="autoZero"/>
        <c:crossBetween val="midCat"/>
      </c:valAx>
      <c:valAx>
        <c:axId val="97087651"/>
        <c:scaling>
          <c:orientation val="minMax"/>
          <c:max val="150"/>
          <c:min val="0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120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Filtration Volume (cc)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200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15785857"/>
        <c:crosses val="autoZero"/>
        <c:crossBetween val="midCat"/>
        <c:majorUnit val="20"/>
      </c:valAx>
      <c:spPr>
        <a:gradFill>
          <a:gsLst>
            <a:gs pos="0">
              <a:srgbClr val="FFFFCC"/>
            </a:gs>
            <a:gs pos="100000">
              <a:srgbClr val="CCFFFF"/>
            </a:gs>
          </a:gsLst>
          <a:lin ang="8100000"/>
        </a:gradFill>
        <a:ln w="12600">
          <a:solidFill>
            <a:srgbClr val="808080"/>
          </a:solidFill>
          <a:round/>
        </a:ln>
      </c:spPr>
    </c:plotArea>
    <c:legend>
      <c:legendPos val="r"/>
      <c:layout>
        <c:manualLayout>
          <c:xMode val="edge"/>
          <c:yMode val="edge"/>
          <c:x val="0.29058205079485699"/>
          <c:y val="2.46810540121617E-2"/>
          <c:w val="0.45800608056752001"/>
          <c:h val="9.6589554018602405E-2"/>
        </c:manualLayout>
      </c:layout>
      <c:overlay val="0"/>
      <c:spPr>
        <a:solidFill>
          <a:srgbClr val="FFFFFF"/>
        </a:solidFill>
        <a:ln w="0">
          <a:solidFill>
            <a:srgbClr val="000000"/>
          </a:solidFill>
        </a:ln>
      </c:spPr>
      <c:txPr>
        <a:bodyPr/>
        <a:lstStyle/>
        <a:p>
          <a:pPr>
            <a:defRPr sz="900" b="1" u="none" strike="noStrike">
              <a:solidFill>
                <a:srgbClr val="000000"/>
              </a:solidFill>
              <a:uFillTx/>
              <a:latin typeface="Times New Roman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99CC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5479338218629601"/>
          <c:y val="9.0735434574976098E-2"/>
          <c:w val="0.78801843317972398"/>
          <c:h val="0.74853322417792301"/>
        </c:manualLayout>
      </c:layout>
      <c:scatterChart>
        <c:scatterStyle val="lineMarker"/>
        <c:varyColors val="0"/>
        <c:ser>
          <c:idx val="0"/>
          <c:order val="0"/>
          <c:spPr>
            <a:ln w="0">
              <a:solidFill>
                <a:srgbClr val="000080"/>
              </a:solidFill>
            </a:ln>
          </c:spPr>
          <c:marker>
            <c:symbol val="diamond"/>
            <c:size val="3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6"/>
                <c:pt idx="0">
                  <c:v>1021.92</c:v>
                </c:pt>
                <c:pt idx="1">
                  <c:v>510.96</c:v>
                </c:pt>
                <c:pt idx="2">
                  <c:v>340.64</c:v>
                </c:pt>
                <c:pt idx="3">
                  <c:v>170.32</c:v>
                </c:pt>
                <c:pt idx="4">
                  <c:v>10.219200000000001</c:v>
                </c:pt>
                <c:pt idx="5">
                  <c:v>5.1096000000000004</c:v>
                </c:pt>
              </c:numCache>
            </c:numRef>
          </c:xVal>
          <c:yVal>
            <c:numRef>
              <c:f>1</c:f>
              <c:numCache>
                <c:formatCode>General</c:formatCode>
                <c:ptCount val="6"/>
                <c:pt idx="0">
                  <c:v>237.688697988326</c:v>
                </c:pt>
                <c:pt idx="1">
                  <c:v>143.51015727596999</c:v>
                </c:pt>
                <c:pt idx="2">
                  <c:v>112.117310371852</c:v>
                </c:pt>
                <c:pt idx="3">
                  <c:v>76.239771052859197</c:v>
                </c:pt>
                <c:pt idx="4">
                  <c:v>31.3928469041185</c:v>
                </c:pt>
                <c:pt idx="5">
                  <c:v>26.908154489244399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1</c15:sqref>
                        </c15:formulaRef>
                      </c:ext>
                    </c:extLst>
                    <c:strCache>
                      <c:ptCount val="1"/>
                      <c:pt idx="0">
                        <c:v>Actual data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84DB-4805-8063-F5B272E6286F}"/>
            </c:ext>
          </c:extLst>
        </c:ser>
        <c:ser>
          <c:idx val="1"/>
          <c:order val="1"/>
          <c:spPr>
            <a:ln w="0">
              <a:solidFill>
                <a:srgbClr val="FF00FF"/>
              </a:solidFill>
            </a:ln>
          </c:spPr>
          <c:marker>
            <c:symbol val="square"/>
            <c:size val="3"/>
            <c:spPr>
              <a:solidFill>
                <a:srgbClr val="FF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6"/>
                <c:pt idx="0">
                  <c:v>1021.92</c:v>
                </c:pt>
                <c:pt idx="1">
                  <c:v>510.96</c:v>
                </c:pt>
                <c:pt idx="2">
                  <c:v>340.64</c:v>
                </c:pt>
                <c:pt idx="3">
                  <c:v>170.32</c:v>
                </c:pt>
                <c:pt idx="4">
                  <c:v>10.219200000000001</c:v>
                </c:pt>
                <c:pt idx="5">
                  <c:v>5.1096000000000004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6"/>
                <c:pt idx="0">
                  <c:v>250.25632287837499</c:v>
                </c:pt>
                <c:pt idx="1">
                  <c:v>149.79396972099499</c:v>
                </c:pt>
                <c:pt idx="2">
                  <c:v>116.30651866853501</c:v>
                </c:pt>
                <c:pt idx="3">
                  <c:v>82.819067616074904</c:v>
                </c:pt>
                <c:pt idx="4">
                  <c:v>51.340863626762399</c:v>
                </c:pt>
                <c:pt idx="5">
                  <c:v>50.3362400951886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2</c15:sqref>
                        </c15:formulaRef>
                      </c:ext>
                    </c:extLst>
                    <c:strCache>
                      <c:ptCount val="1"/>
                      <c:pt idx="0">
                        <c:v>Bingham Plastic model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84DB-4805-8063-F5B272E62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67120"/>
        <c:axId val="61666910"/>
      </c:scatterChart>
      <c:valAx>
        <c:axId val="96667120"/>
        <c:scaling>
          <c:orientation val="minMax"/>
          <c:min val="0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lang="en-GB" sz="90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Shear rate (1/sec)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900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61666910"/>
        <c:crosses val="autoZero"/>
        <c:crossBetween val="midCat"/>
      </c:valAx>
      <c:valAx>
        <c:axId val="61666910"/>
        <c:scaling>
          <c:orientation val="minMax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lang="en-GB" sz="90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Shear stress (dyne/cm^2)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900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96667120"/>
        <c:crosses val="autoZero"/>
        <c:crossBetween val="midCat"/>
      </c:valAx>
      <c:spPr>
        <a:solidFill>
          <a:srgbClr val="FFFFCC"/>
        </a:solidFill>
        <a:ln w="12600">
          <a:solidFill>
            <a:srgbClr val="808080"/>
          </a:solidFill>
          <a:round/>
        </a:ln>
      </c:spPr>
    </c:plotArea>
    <c:legend>
      <c:legendPos val="r"/>
      <c:layout>
        <c:manualLayout>
          <c:xMode val="edge"/>
          <c:yMode val="edge"/>
          <c:x val="0.22852610108030499"/>
          <c:y val="2.1421749215445499E-2"/>
          <c:w val="0.64226352372317896"/>
          <c:h val="7.2052401746724906E-2"/>
        </c:manualLayout>
      </c:layout>
      <c:overlay val="0"/>
      <c:spPr>
        <a:solidFill>
          <a:srgbClr val="FFFFFF"/>
        </a:solidFill>
        <a:ln w="0">
          <a:solidFill>
            <a:srgbClr val="000000"/>
          </a:solidFill>
        </a:ln>
      </c:spPr>
      <c:txPr>
        <a:bodyPr/>
        <a:lstStyle/>
        <a:p>
          <a:pPr>
            <a:defRPr sz="950" b="1" u="none" strike="noStrike">
              <a:solidFill>
                <a:srgbClr val="000000"/>
              </a:solidFill>
              <a:uFillTx/>
              <a:latin typeface="Times New Roman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8080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5892817597992"/>
          <c:y val="7.6092680358083198E-2"/>
          <c:w val="0.83760242120026596"/>
          <c:h val="0.76843075302790897"/>
        </c:manualLayout>
      </c:layout>
      <c:scatterChart>
        <c:scatterStyle val="lineMarker"/>
        <c:varyColors val="0"/>
        <c:ser>
          <c:idx val="0"/>
          <c:order val="0"/>
          <c:spPr>
            <a:ln w="0">
              <a:solidFill>
                <a:srgbClr val="000080"/>
              </a:solidFill>
            </a:ln>
          </c:spPr>
          <c:marker>
            <c:symbol val="diamond"/>
            <c:size val="3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5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  <c:pt idx="7">
                  <c:v>35</c:v>
                </c:pt>
                <c:pt idx="8">
                  <c:v>45</c:v>
                </c:pt>
                <c:pt idx="9">
                  <c:v>55</c:v>
                </c:pt>
                <c:pt idx="10">
                  <c:v>65</c:v>
                </c:pt>
                <c:pt idx="11">
                  <c:v>75</c:v>
                </c:pt>
                <c:pt idx="12">
                  <c:v>85</c:v>
                </c:pt>
                <c:pt idx="13">
                  <c:v>95</c:v>
                </c:pt>
                <c:pt idx="14">
                  <c:v>105</c:v>
                </c:pt>
                <c:pt idx="15">
                  <c:v>115</c:v>
                </c:pt>
                <c:pt idx="16">
                  <c:v>125</c:v>
                </c:pt>
                <c:pt idx="17">
                  <c:v>135</c:v>
                </c:pt>
                <c:pt idx="18">
                  <c:v>145</c:v>
                </c:pt>
                <c:pt idx="19">
                  <c:v>155</c:v>
                </c:pt>
                <c:pt idx="20">
                  <c:v>165</c:v>
                </c:pt>
                <c:pt idx="21">
                  <c:v>175</c:v>
                </c:pt>
                <c:pt idx="22">
                  <c:v>185</c:v>
                </c:pt>
                <c:pt idx="23">
                  <c:v>195</c:v>
                </c:pt>
                <c:pt idx="24">
                  <c:v>205</c:v>
                </c:pt>
                <c:pt idx="25">
                  <c:v>215</c:v>
                </c:pt>
                <c:pt idx="26">
                  <c:v>225</c:v>
                </c:pt>
                <c:pt idx="27">
                  <c:v>255</c:v>
                </c:pt>
                <c:pt idx="28">
                  <c:v>355</c:v>
                </c:pt>
                <c:pt idx="29">
                  <c:v>455</c:v>
                </c:pt>
                <c:pt idx="30">
                  <c:v>555</c:v>
                </c:pt>
                <c:pt idx="31">
                  <c:v>655</c:v>
                </c:pt>
                <c:pt idx="32">
                  <c:v>755</c:v>
                </c:pt>
                <c:pt idx="33">
                  <c:v>855</c:v>
                </c:pt>
                <c:pt idx="34">
                  <c:v>955</c:v>
                </c:pt>
                <c:pt idx="35">
                  <c:v>1055</c:v>
                </c:pt>
                <c:pt idx="36">
                  <c:v>1155</c:v>
                </c:pt>
                <c:pt idx="37">
                  <c:v>1255</c:v>
                </c:pt>
                <c:pt idx="38">
                  <c:v>1355</c:v>
                </c:pt>
                <c:pt idx="39">
                  <c:v>1455</c:v>
                </c:pt>
                <c:pt idx="40">
                  <c:v>1555</c:v>
                </c:pt>
                <c:pt idx="41">
                  <c:v>1655</c:v>
                </c:pt>
                <c:pt idx="42">
                  <c:v>1755</c:v>
                </c:pt>
                <c:pt idx="43">
                  <c:v>1855</c:v>
                </c:pt>
                <c:pt idx="44">
                  <c:v>1955</c:v>
                </c:pt>
                <c:pt idx="45">
                  <c:v>2055</c:v>
                </c:pt>
                <c:pt idx="46">
                  <c:v>2155</c:v>
                </c:pt>
                <c:pt idx="47">
                  <c:v>2255</c:v>
                </c:pt>
                <c:pt idx="48">
                  <c:v>2355</c:v>
                </c:pt>
                <c:pt idx="49">
                  <c:v>2455</c:v>
                </c:pt>
                <c:pt idx="50">
                  <c:v>2555</c:v>
                </c:pt>
                <c:pt idx="51">
                  <c:v>2655</c:v>
                </c:pt>
                <c:pt idx="52">
                  <c:v>2755</c:v>
                </c:pt>
                <c:pt idx="53">
                  <c:v>2855</c:v>
                </c:pt>
                <c:pt idx="54">
                  <c:v>3600</c:v>
                </c:pt>
              </c:numCache>
            </c:numRef>
          </c:xVal>
          <c:yVal>
            <c:numRef>
              <c:f>1</c:f>
              <c:numCache>
                <c:formatCode>General</c:formatCode>
                <c:ptCount val="55"/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1</c15:sqref>
                        </c15:formulaRef>
                      </c:ext>
                    </c:extLst>
                    <c:strCache>
                      <c:ptCount val="1"/>
                      <c:pt idx="0">
                        <c:v>Column DP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E3F7-41C0-B64B-CD484847AE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77963"/>
        <c:axId val="51696435"/>
      </c:scatterChart>
      <c:valAx>
        <c:axId val="16477963"/>
        <c:scaling>
          <c:orientation val="minMax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900" b="1" u="none" strike="noStrike">
                    <a:solidFill>
                      <a:srgbClr val="000000"/>
                    </a:solidFill>
                    <a:uFillTx/>
                    <a:latin typeface="Arial"/>
                  </a:rPr>
                  <a:t>Time (min)</a:t>
                </a:r>
              </a:p>
            </c:rich>
          </c:tx>
          <c:layout>
            <c:manualLayout>
              <c:xMode val="edge"/>
              <c:yMode val="edge"/>
              <c:x val="0.440687975197461"/>
              <c:y val="0.90271195365982104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900" b="1" u="none" strike="noStrike">
                <a:solidFill>
                  <a:srgbClr val="000000"/>
                </a:solidFill>
                <a:uFillTx/>
                <a:latin typeface="Arial"/>
              </a:defRPr>
            </a:pPr>
            <a:endParaRPr lang="en-US"/>
          </a:p>
        </c:txPr>
        <c:crossAx val="51696435"/>
        <c:crosses val="autoZero"/>
        <c:crossBetween val="midCat"/>
        <c:majorUnit val="500"/>
      </c:valAx>
      <c:valAx>
        <c:axId val="51696435"/>
        <c:scaling>
          <c:orientation val="minMax"/>
          <c:max val="7"/>
          <c:min val="0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900" b="1" u="none" strike="noStrike">
                    <a:solidFill>
                      <a:srgbClr val="000000"/>
                    </a:solidFill>
                    <a:uFillTx/>
                    <a:latin typeface="Arial"/>
                  </a:rPr>
                  <a:t>Skin Factor</a:t>
                </a:r>
              </a:p>
            </c:rich>
          </c:tx>
          <c:layout>
            <c:manualLayout>
              <c:xMode val="edge"/>
              <c:yMode val="edge"/>
              <c:x val="1.1736915922344399E-2"/>
              <c:y val="0.118088467614534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900" b="1" u="none" strike="noStrike">
                <a:solidFill>
                  <a:srgbClr val="000000"/>
                </a:solidFill>
                <a:uFillTx/>
                <a:latin typeface="Arial"/>
              </a:defRPr>
            </a:pPr>
            <a:endParaRPr lang="en-US"/>
          </a:p>
        </c:txPr>
        <c:crossAx val="16477963"/>
        <c:crosses val="autoZero"/>
        <c:crossBetween val="midCat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plotVisOnly val="1"/>
    <c:dispBlanksAs val="gap"/>
    <c:showDLblsOverMax val="1"/>
  </c:chart>
  <c:spPr>
    <a:solidFill>
      <a:srgbClr val="FF99CC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3927145301931401"/>
          <c:y val="6.6157413722548103E-2"/>
          <c:w val="0.83693260532963898"/>
          <c:h val="0.79675351248124404"/>
        </c:manualLayout>
      </c:layout>
      <c:scatterChart>
        <c:scatterStyle val="lineMarker"/>
        <c:varyColors val="0"/>
        <c:ser>
          <c:idx val="0"/>
          <c:order val="0"/>
          <c:spPr>
            <a:ln w="0">
              <a:solidFill>
                <a:srgbClr val="FF0000"/>
              </a:solidFill>
            </a:ln>
          </c:spPr>
          <c:marker>
            <c:symbol val="x"/>
            <c:size val="3"/>
            <c:spPr>
              <a:solidFill>
                <a:srgbClr val="FF0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5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  <c:pt idx="7">
                  <c:v>35</c:v>
                </c:pt>
                <c:pt idx="8">
                  <c:v>45</c:v>
                </c:pt>
                <c:pt idx="9">
                  <c:v>55</c:v>
                </c:pt>
                <c:pt idx="10">
                  <c:v>65</c:v>
                </c:pt>
                <c:pt idx="11">
                  <c:v>75</c:v>
                </c:pt>
                <c:pt idx="12">
                  <c:v>85</c:v>
                </c:pt>
                <c:pt idx="13">
                  <c:v>95</c:v>
                </c:pt>
                <c:pt idx="14">
                  <c:v>105</c:v>
                </c:pt>
                <c:pt idx="15">
                  <c:v>115</c:v>
                </c:pt>
                <c:pt idx="16">
                  <c:v>125</c:v>
                </c:pt>
                <c:pt idx="17">
                  <c:v>135</c:v>
                </c:pt>
                <c:pt idx="18">
                  <c:v>145</c:v>
                </c:pt>
                <c:pt idx="19">
                  <c:v>155</c:v>
                </c:pt>
                <c:pt idx="20">
                  <c:v>165</c:v>
                </c:pt>
                <c:pt idx="21">
                  <c:v>175</c:v>
                </c:pt>
                <c:pt idx="22">
                  <c:v>185</c:v>
                </c:pt>
                <c:pt idx="23">
                  <c:v>195</c:v>
                </c:pt>
                <c:pt idx="24">
                  <c:v>205</c:v>
                </c:pt>
                <c:pt idx="25">
                  <c:v>215</c:v>
                </c:pt>
                <c:pt idx="26">
                  <c:v>225</c:v>
                </c:pt>
                <c:pt idx="27">
                  <c:v>255</c:v>
                </c:pt>
                <c:pt idx="28">
                  <c:v>355</c:v>
                </c:pt>
                <c:pt idx="29">
                  <c:v>455</c:v>
                </c:pt>
                <c:pt idx="30">
                  <c:v>555</c:v>
                </c:pt>
                <c:pt idx="31">
                  <c:v>655</c:v>
                </c:pt>
                <c:pt idx="32">
                  <c:v>755</c:v>
                </c:pt>
                <c:pt idx="33">
                  <c:v>855</c:v>
                </c:pt>
                <c:pt idx="34">
                  <c:v>955</c:v>
                </c:pt>
                <c:pt idx="35">
                  <c:v>1055</c:v>
                </c:pt>
                <c:pt idx="36">
                  <c:v>1155</c:v>
                </c:pt>
                <c:pt idx="37">
                  <c:v>1255</c:v>
                </c:pt>
                <c:pt idx="38">
                  <c:v>1355</c:v>
                </c:pt>
                <c:pt idx="39">
                  <c:v>1455</c:v>
                </c:pt>
                <c:pt idx="40">
                  <c:v>1555</c:v>
                </c:pt>
                <c:pt idx="41">
                  <c:v>1655</c:v>
                </c:pt>
                <c:pt idx="42">
                  <c:v>1755</c:v>
                </c:pt>
                <c:pt idx="43">
                  <c:v>1855</c:v>
                </c:pt>
                <c:pt idx="44">
                  <c:v>1955</c:v>
                </c:pt>
                <c:pt idx="45">
                  <c:v>2055</c:v>
                </c:pt>
                <c:pt idx="46">
                  <c:v>2155</c:v>
                </c:pt>
                <c:pt idx="47">
                  <c:v>2255</c:v>
                </c:pt>
                <c:pt idx="48">
                  <c:v>2355</c:v>
                </c:pt>
                <c:pt idx="49">
                  <c:v>2455</c:v>
                </c:pt>
                <c:pt idx="50">
                  <c:v>2555</c:v>
                </c:pt>
                <c:pt idx="51">
                  <c:v>2655</c:v>
                </c:pt>
                <c:pt idx="52">
                  <c:v>2755</c:v>
                </c:pt>
                <c:pt idx="53">
                  <c:v>2855</c:v>
                </c:pt>
                <c:pt idx="54">
                  <c:v>3600</c:v>
                </c:pt>
              </c:numCache>
            </c:numRef>
          </c:xVal>
          <c:yVal>
            <c:numRef>
              <c:f>1</c:f>
              <c:numCache>
                <c:formatCode>General</c:formatCode>
                <c:ptCount val="55"/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1</c15:sqref>
                        </c15:formulaRef>
                      </c:ext>
                    </c:extLst>
                    <c:strCache>
                      <c:ptCount val="1"/>
                      <c:pt idx="0">
                        <c:v>Average permeability 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3E41-492C-B7BB-0E9E00C66295}"/>
            </c:ext>
          </c:extLst>
        </c:ser>
        <c:ser>
          <c:idx val="1"/>
          <c:order val="1"/>
          <c:spPr>
            <a:ln w="0">
              <a:solidFill>
                <a:srgbClr val="000080"/>
              </a:solidFill>
            </a:ln>
          </c:spPr>
          <c:marker>
            <c:symbol val="circle"/>
            <c:size val="3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5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  <c:pt idx="7">
                  <c:v>35</c:v>
                </c:pt>
                <c:pt idx="8">
                  <c:v>45</c:v>
                </c:pt>
                <c:pt idx="9">
                  <c:v>55</c:v>
                </c:pt>
                <c:pt idx="10">
                  <c:v>65</c:v>
                </c:pt>
                <c:pt idx="11">
                  <c:v>75</c:v>
                </c:pt>
                <c:pt idx="12">
                  <c:v>85</c:v>
                </c:pt>
                <c:pt idx="13">
                  <c:v>95</c:v>
                </c:pt>
                <c:pt idx="14">
                  <c:v>105</c:v>
                </c:pt>
                <c:pt idx="15">
                  <c:v>115</c:v>
                </c:pt>
                <c:pt idx="16">
                  <c:v>125</c:v>
                </c:pt>
                <c:pt idx="17">
                  <c:v>135</c:v>
                </c:pt>
                <c:pt idx="18">
                  <c:v>145</c:v>
                </c:pt>
                <c:pt idx="19">
                  <c:v>155</c:v>
                </c:pt>
                <c:pt idx="20">
                  <c:v>165</c:v>
                </c:pt>
                <c:pt idx="21">
                  <c:v>175</c:v>
                </c:pt>
                <c:pt idx="22">
                  <c:v>185</c:v>
                </c:pt>
                <c:pt idx="23">
                  <c:v>195</c:v>
                </c:pt>
                <c:pt idx="24">
                  <c:v>205</c:v>
                </c:pt>
                <c:pt idx="25">
                  <c:v>215</c:v>
                </c:pt>
                <c:pt idx="26">
                  <c:v>225</c:v>
                </c:pt>
                <c:pt idx="27">
                  <c:v>255</c:v>
                </c:pt>
                <c:pt idx="28">
                  <c:v>355</c:v>
                </c:pt>
                <c:pt idx="29">
                  <c:v>455</c:v>
                </c:pt>
                <c:pt idx="30">
                  <c:v>555</c:v>
                </c:pt>
                <c:pt idx="31">
                  <c:v>655</c:v>
                </c:pt>
                <c:pt idx="32">
                  <c:v>755</c:v>
                </c:pt>
                <c:pt idx="33">
                  <c:v>855</c:v>
                </c:pt>
                <c:pt idx="34">
                  <c:v>955</c:v>
                </c:pt>
                <c:pt idx="35">
                  <c:v>1055</c:v>
                </c:pt>
                <c:pt idx="36">
                  <c:v>1155</c:v>
                </c:pt>
                <c:pt idx="37">
                  <c:v>1255</c:v>
                </c:pt>
                <c:pt idx="38">
                  <c:v>1355</c:v>
                </c:pt>
                <c:pt idx="39">
                  <c:v>1455</c:v>
                </c:pt>
                <c:pt idx="40">
                  <c:v>1555</c:v>
                </c:pt>
                <c:pt idx="41">
                  <c:v>1655</c:v>
                </c:pt>
                <c:pt idx="42">
                  <c:v>1755</c:v>
                </c:pt>
                <c:pt idx="43">
                  <c:v>1855</c:v>
                </c:pt>
                <c:pt idx="44">
                  <c:v>1955</c:v>
                </c:pt>
                <c:pt idx="45">
                  <c:v>2055</c:v>
                </c:pt>
                <c:pt idx="46">
                  <c:v>2155</c:v>
                </c:pt>
                <c:pt idx="47">
                  <c:v>2255</c:v>
                </c:pt>
                <c:pt idx="48">
                  <c:v>2355</c:v>
                </c:pt>
                <c:pt idx="49">
                  <c:v>2455</c:v>
                </c:pt>
                <c:pt idx="50">
                  <c:v>2555</c:v>
                </c:pt>
                <c:pt idx="51">
                  <c:v>2655</c:v>
                </c:pt>
                <c:pt idx="52">
                  <c:v>2755</c:v>
                </c:pt>
                <c:pt idx="53">
                  <c:v>2855</c:v>
                </c:pt>
                <c:pt idx="54">
                  <c:v>3600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55"/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2</c15:sqref>
                        </c15:formulaRef>
                      </c:ext>
                    </c:extLst>
                    <c:strCache>
                      <c:ptCount val="1"/>
                      <c:pt idx="0">
                        <c:v>Permeability damage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3E41-492C-B7BB-0E9E00C662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757044"/>
        <c:axId val="43341696"/>
      </c:scatterChart>
      <c:valAx>
        <c:axId val="76757044"/>
        <c:scaling>
          <c:orientation val="minMax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825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Time (min)</a:t>
                </a:r>
              </a:p>
            </c:rich>
          </c:tx>
          <c:layout>
            <c:manualLayout>
              <c:xMode val="edge"/>
              <c:yMode val="edge"/>
              <c:x val="0.47298508678999301"/>
              <c:y val="0.91720092756786298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25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43341696"/>
        <c:crosses val="autoZero"/>
        <c:crossBetween val="midCat"/>
      </c:valAx>
      <c:valAx>
        <c:axId val="43341696"/>
        <c:scaling>
          <c:orientation val="minMax"/>
          <c:max val="300"/>
          <c:min val="0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825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Initial permeability (md)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25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76757044"/>
        <c:crosses val="autoZero"/>
        <c:crossBetween val="midCat"/>
        <c:majorUnit val="40"/>
        <c:minorUnit val="20"/>
      </c:valAx>
      <c:spPr>
        <a:gradFill>
          <a:gsLst>
            <a:gs pos="0">
              <a:srgbClr val="C0C0C0"/>
            </a:gs>
            <a:gs pos="100000">
              <a:srgbClr val="FFFFFF"/>
            </a:gs>
          </a:gsLst>
          <a:lin ang="5400000"/>
        </a:gradFill>
        <a:ln w="12600">
          <a:solidFill>
            <a:srgbClr val="808080"/>
          </a:solidFill>
          <a:round/>
        </a:ln>
      </c:spPr>
    </c:plotArea>
    <c:legend>
      <c:legendPos val="r"/>
      <c:layout>
        <c:manualLayout>
          <c:xMode val="edge"/>
          <c:yMode val="edge"/>
          <c:x val="0.47159970662537698"/>
          <c:y val="6.5611785568135295E-2"/>
        </c:manualLayout>
      </c:layout>
      <c:overlay val="0"/>
      <c:spPr>
        <a:solidFill>
          <a:srgbClr val="FFFFFF"/>
        </a:solidFill>
        <a:ln w="0">
          <a:solidFill>
            <a:srgbClr val="000000"/>
          </a:solidFill>
        </a:ln>
      </c:spPr>
      <c:txPr>
        <a:bodyPr/>
        <a:lstStyle/>
        <a:p>
          <a:pPr>
            <a:defRPr sz="825" b="1" u="none" strike="noStrike">
              <a:solidFill>
                <a:srgbClr val="000000"/>
              </a:solidFill>
              <a:uFillTx/>
              <a:latin typeface="Times New Roman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CC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64394878149525"/>
          <c:y val="6.8586910024240694E-2"/>
          <c:w val="0.78058653448988002"/>
          <c:h val="0.73007272208755203"/>
        </c:manualLayout>
      </c:layout>
      <c:scatterChart>
        <c:scatterStyle val="lineMarker"/>
        <c:varyColors val="0"/>
        <c:ser>
          <c:idx val="0"/>
          <c:order val="0"/>
          <c:spPr>
            <a:ln w="0">
              <a:solidFill>
                <a:srgbClr val="0000FF"/>
              </a:solidFill>
            </a:ln>
          </c:spPr>
          <c:marker>
            <c:symbol val="triangle"/>
            <c:size val="4"/>
            <c:spPr>
              <a:solidFill>
                <a:srgbClr val="0000FF"/>
              </a:solidFill>
            </c:spPr>
          </c:marker>
          <c:dPt>
            <c:idx val="40"/>
            <c:bubble3D val="0"/>
            <c:extLst>
              <c:ext xmlns:c16="http://schemas.microsoft.com/office/drawing/2014/chart" uri="{C3380CC4-5D6E-409C-BE32-E72D297353CC}">
                <c16:uniqueId val="{00000000-847E-45F6-8BAA-71916376C641}"/>
              </c:ext>
            </c:extLst>
          </c:dPt>
          <c:dPt>
            <c:idx val="50"/>
            <c:bubble3D val="0"/>
            <c:extLst>
              <c:ext xmlns:c16="http://schemas.microsoft.com/office/drawing/2014/chart" uri="{C3380CC4-5D6E-409C-BE32-E72D297353CC}">
                <c16:uniqueId val="{00000001-847E-45F6-8BAA-71916376C641}"/>
              </c:ext>
            </c:extLst>
          </c:dPt>
          <c:dLbls>
            <c:dLbl>
              <c:idx val="40"/>
              <c:spPr/>
              <c:txPr>
                <a:bodyPr wrap="none"/>
                <a:lstStyle/>
                <a:p>
                  <a:pPr>
                    <a:defRPr sz="1000" b="0" u="none" strike="noStrike">
                      <a:uFillTx/>
                      <a:latin typeface="Arial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6="http://schemas.microsoft.com/office/drawing/2014/chart" uri="{C3380CC4-5D6E-409C-BE32-E72D297353CC}">
                  <c16:uniqueId val="{00000000-847E-45F6-8BAA-71916376C641}"/>
                </c:ext>
              </c:extLst>
            </c:dLbl>
            <c:dLbl>
              <c:idx val="50"/>
              <c:spPr/>
              <c:txPr>
                <a:bodyPr wrap="none"/>
                <a:lstStyle/>
                <a:p>
                  <a:pPr>
                    <a:defRPr sz="1000" b="0" u="none" strike="noStrike">
                      <a:uFillTx/>
                      <a:latin typeface="Arial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6="http://schemas.microsoft.com/office/drawing/2014/chart" uri="{C3380CC4-5D6E-409C-BE32-E72D297353CC}">
                  <c16:uniqueId val="{00000001-847E-45F6-8BAA-71916376C6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5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  <c:pt idx="7">
                  <c:v>35</c:v>
                </c:pt>
                <c:pt idx="8">
                  <c:v>45</c:v>
                </c:pt>
                <c:pt idx="9">
                  <c:v>55</c:v>
                </c:pt>
                <c:pt idx="10">
                  <c:v>65</c:v>
                </c:pt>
                <c:pt idx="11">
                  <c:v>75</c:v>
                </c:pt>
                <c:pt idx="12">
                  <c:v>85</c:v>
                </c:pt>
                <c:pt idx="13">
                  <c:v>95</c:v>
                </c:pt>
                <c:pt idx="14">
                  <c:v>105</c:v>
                </c:pt>
                <c:pt idx="15">
                  <c:v>115</c:v>
                </c:pt>
                <c:pt idx="16">
                  <c:v>125</c:v>
                </c:pt>
                <c:pt idx="17">
                  <c:v>135</c:v>
                </c:pt>
                <c:pt idx="18">
                  <c:v>145</c:v>
                </c:pt>
                <c:pt idx="19">
                  <c:v>155</c:v>
                </c:pt>
                <c:pt idx="20">
                  <c:v>165</c:v>
                </c:pt>
                <c:pt idx="21">
                  <c:v>175</c:v>
                </c:pt>
                <c:pt idx="22">
                  <c:v>185</c:v>
                </c:pt>
                <c:pt idx="23">
                  <c:v>195</c:v>
                </c:pt>
                <c:pt idx="24">
                  <c:v>205</c:v>
                </c:pt>
                <c:pt idx="25">
                  <c:v>215</c:v>
                </c:pt>
                <c:pt idx="26">
                  <c:v>225</c:v>
                </c:pt>
                <c:pt idx="27">
                  <c:v>255</c:v>
                </c:pt>
                <c:pt idx="28">
                  <c:v>355</c:v>
                </c:pt>
                <c:pt idx="29">
                  <c:v>455</c:v>
                </c:pt>
                <c:pt idx="30">
                  <c:v>555</c:v>
                </c:pt>
                <c:pt idx="31">
                  <c:v>655</c:v>
                </c:pt>
                <c:pt idx="32">
                  <c:v>755</c:v>
                </c:pt>
                <c:pt idx="33">
                  <c:v>855</c:v>
                </c:pt>
                <c:pt idx="34">
                  <c:v>955</c:v>
                </c:pt>
                <c:pt idx="35">
                  <c:v>1055</c:v>
                </c:pt>
                <c:pt idx="36">
                  <c:v>1155</c:v>
                </c:pt>
                <c:pt idx="37">
                  <c:v>1255</c:v>
                </c:pt>
                <c:pt idx="38">
                  <c:v>1355</c:v>
                </c:pt>
                <c:pt idx="39">
                  <c:v>1455</c:v>
                </c:pt>
                <c:pt idx="40">
                  <c:v>1555</c:v>
                </c:pt>
                <c:pt idx="41">
                  <c:v>1655</c:v>
                </c:pt>
                <c:pt idx="42">
                  <c:v>1755</c:v>
                </c:pt>
                <c:pt idx="43">
                  <c:v>1855</c:v>
                </c:pt>
                <c:pt idx="44">
                  <c:v>1955</c:v>
                </c:pt>
                <c:pt idx="45">
                  <c:v>2055</c:v>
                </c:pt>
                <c:pt idx="46">
                  <c:v>2155</c:v>
                </c:pt>
                <c:pt idx="47">
                  <c:v>2255</c:v>
                </c:pt>
                <c:pt idx="48">
                  <c:v>2355</c:v>
                </c:pt>
                <c:pt idx="49">
                  <c:v>2455</c:v>
                </c:pt>
                <c:pt idx="50">
                  <c:v>2555</c:v>
                </c:pt>
                <c:pt idx="51">
                  <c:v>2655</c:v>
                </c:pt>
                <c:pt idx="52">
                  <c:v>2755</c:v>
                </c:pt>
                <c:pt idx="53">
                  <c:v>2855</c:v>
                </c:pt>
                <c:pt idx="54">
                  <c:v>3600</c:v>
                </c:pt>
              </c:numCache>
            </c:numRef>
          </c:xVal>
          <c:yVal>
            <c:numRef>
              <c:f>1</c:f>
              <c:numCache>
                <c:formatCode>General</c:formatCode>
                <c:ptCount val="55"/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1</c15:sqref>
                        </c15:formulaRef>
                      </c:ext>
                    </c:extLst>
                    <c:strCache>
                      <c:ptCount val="1"/>
                      <c:pt idx="0">
                        <c:v>Column CI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847E-45F6-8BAA-71916376C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04647"/>
        <c:axId val="90222380"/>
      </c:scatterChart>
      <c:valAx>
        <c:axId val="46004647"/>
        <c:scaling>
          <c:orientation val="minMax"/>
          <c:min val="5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80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Time (min)</a:t>
                </a:r>
              </a:p>
            </c:rich>
          </c:tx>
          <c:layout>
            <c:manualLayout>
              <c:xMode val="edge"/>
              <c:yMode val="edge"/>
              <c:x val="0.48864105741429198"/>
              <c:y val="0.90232425495508295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00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90222380"/>
        <c:crosses val="autoZero"/>
        <c:crossBetween val="midCat"/>
      </c:valAx>
      <c:valAx>
        <c:axId val="90222380"/>
        <c:scaling>
          <c:orientation val="minMax"/>
          <c:max val="8"/>
          <c:min val="0.2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80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Depth of solids invasion (cm)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00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46004647"/>
        <c:crosses val="autoZero"/>
        <c:crossBetween val="midCat"/>
      </c:valAx>
      <c:spPr>
        <a:gradFill>
          <a:gsLst>
            <a:gs pos="0">
              <a:srgbClr val="C0C0C0"/>
            </a:gs>
            <a:gs pos="100000">
              <a:srgbClr val="FFFFFF"/>
            </a:gs>
          </a:gsLst>
          <a:lin ang="5400000"/>
        </a:gradFill>
        <a:ln w="12600">
          <a:solidFill>
            <a:srgbClr val="808080"/>
          </a:solidFill>
          <a:round/>
        </a:ln>
      </c:spPr>
    </c:plotArea>
    <c:plotVisOnly val="1"/>
    <c:dispBlanksAs val="gap"/>
    <c:showDLblsOverMax val="1"/>
  </c:chart>
  <c:spPr>
    <a:blipFill rotWithShape="0">
      <a:blip xmlns:r="http://schemas.openxmlformats.org/officeDocument/2006/relationships" r:embed="rId1"/>
      <a:tile tx="0" ty="0" sx="100000" sy="100000" algn="ctr"/>
    </a:blip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43344709897611"/>
          <c:y val="6.0528668113906302E-2"/>
          <c:w val="0.78988907849829404"/>
          <c:h val="0.79606691354871695"/>
        </c:manualLayout>
      </c:layout>
      <c:scatterChart>
        <c:scatterStyle val="lineMarker"/>
        <c:varyColors val="0"/>
        <c:ser>
          <c:idx val="0"/>
          <c:order val="0"/>
          <c:spPr>
            <a:ln w="0">
              <a:solidFill>
                <a:srgbClr val="000080"/>
              </a:solidFill>
            </a:ln>
          </c:spPr>
          <c:marker>
            <c:symbol val="diamond"/>
            <c:size val="3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54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35</c:v>
                </c:pt>
                <c:pt idx="7">
                  <c:v>45</c:v>
                </c:pt>
                <c:pt idx="8">
                  <c:v>55</c:v>
                </c:pt>
                <c:pt idx="9">
                  <c:v>65</c:v>
                </c:pt>
                <c:pt idx="10">
                  <c:v>75</c:v>
                </c:pt>
                <c:pt idx="11">
                  <c:v>85</c:v>
                </c:pt>
                <c:pt idx="12">
                  <c:v>95</c:v>
                </c:pt>
                <c:pt idx="13">
                  <c:v>105</c:v>
                </c:pt>
                <c:pt idx="14">
                  <c:v>115</c:v>
                </c:pt>
                <c:pt idx="15">
                  <c:v>125</c:v>
                </c:pt>
                <c:pt idx="16">
                  <c:v>135</c:v>
                </c:pt>
                <c:pt idx="17">
                  <c:v>145</c:v>
                </c:pt>
                <c:pt idx="18">
                  <c:v>155</c:v>
                </c:pt>
                <c:pt idx="19">
                  <c:v>165</c:v>
                </c:pt>
                <c:pt idx="20">
                  <c:v>175</c:v>
                </c:pt>
                <c:pt idx="21">
                  <c:v>185</c:v>
                </c:pt>
                <c:pt idx="22">
                  <c:v>195</c:v>
                </c:pt>
                <c:pt idx="23">
                  <c:v>205</c:v>
                </c:pt>
                <c:pt idx="24">
                  <c:v>215</c:v>
                </c:pt>
                <c:pt idx="25">
                  <c:v>225</c:v>
                </c:pt>
                <c:pt idx="26">
                  <c:v>255</c:v>
                </c:pt>
                <c:pt idx="27">
                  <c:v>355</c:v>
                </c:pt>
                <c:pt idx="28">
                  <c:v>455</c:v>
                </c:pt>
                <c:pt idx="29">
                  <c:v>555</c:v>
                </c:pt>
                <c:pt idx="30">
                  <c:v>655</c:v>
                </c:pt>
                <c:pt idx="31">
                  <c:v>755</c:v>
                </c:pt>
                <c:pt idx="32">
                  <c:v>855</c:v>
                </c:pt>
                <c:pt idx="33">
                  <c:v>955</c:v>
                </c:pt>
                <c:pt idx="34">
                  <c:v>1055</c:v>
                </c:pt>
                <c:pt idx="35">
                  <c:v>1155</c:v>
                </c:pt>
                <c:pt idx="36">
                  <c:v>1255</c:v>
                </c:pt>
                <c:pt idx="37">
                  <c:v>1355</c:v>
                </c:pt>
                <c:pt idx="38">
                  <c:v>1455</c:v>
                </c:pt>
                <c:pt idx="39">
                  <c:v>1555</c:v>
                </c:pt>
                <c:pt idx="40">
                  <c:v>1655</c:v>
                </c:pt>
                <c:pt idx="41">
                  <c:v>1755</c:v>
                </c:pt>
                <c:pt idx="42">
                  <c:v>1855</c:v>
                </c:pt>
                <c:pt idx="43">
                  <c:v>1955</c:v>
                </c:pt>
                <c:pt idx="44">
                  <c:v>2055</c:v>
                </c:pt>
                <c:pt idx="45">
                  <c:v>2155</c:v>
                </c:pt>
                <c:pt idx="46">
                  <c:v>2255</c:v>
                </c:pt>
                <c:pt idx="47">
                  <c:v>2355</c:v>
                </c:pt>
                <c:pt idx="48">
                  <c:v>2455</c:v>
                </c:pt>
                <c:pt idx="49">
                  <c:v>2555</c:v>
                </c:pt>
                <c:pt idx="50">
                  <c:v>2655</c:v>
                </c:pt>
                <c:pt idx="51">
                  <c:v>2755</c:v>
                </c:pt>
                <c:pt idx="52">
                  <c:v>2855</c:v>
                </c:pt>
                <c:pt idx="53">
                  <c:v>3600</c:v>
                </c:pt>
              </c:numCache>
            </c:numRef>
          </c:xVal>
          <c:yVal>
            <c:numRef>
              <c:f>1</c:f>
              <c:numCache>
                <c:formatCode>General</c:formatCode>
                <c:ptCount val="54"/>
                <c:pt idx="0">
                  <c:v>1.3541195836247999</c:v>
                </c:pt>
                <c:pt idx="1">
                  <c:v>1.9150142802371899</c:v>
                </c:pt>
                <c:pt idx="2">
                  <c:v>3.02790343864875</c:v>
                </c:pt>
                <c:pt idx="3">
                  <c:v>4.2821021084932003</c:v>
                </c:pt>
                <c:pt idx="4">
                  <c:v>6.0558068772975098</c:v>
                </c:pt>
                <c:pt idx="5">
                  <c:v>7.4168184151080396</c:v>
                </c:pt>
                <c:pt idx="6">
                  <c:v>8.0110794925819206</c:v>
                </c:pt>
                <c:pt idx="7">
                  <c:v>9.0837103159462593</c:v>
                </c:pt>
                <c:pt idx="8">
                  <c:v>10.042419607424801</c:v>
                </c:pt>
                <c:pt idx="9">
                  <c:v>10.917261105201799</c:v>
                </c:pt>
                <c:pt idx="10">
                  <c:v>11.7270195918108</c:v>
                </c:pt>
                <c:pt idx="11">
                  <c:v>12.4843657017197</c:v>
                </c:pt>
                <c:pt idx="12">
                  <c:v>13.1983250998692</c:v>
                </c:pt>
                <c:pt idx="13">
                  <c:v>13.875596704625</c:v>
                </c:pt>
                <c:pt idx="14">
                  <c:v>14.521314760618701</c:v>
                </c:pt>
                <c:pt idx="15">
                  <c:v>15.139517193243799</c:v>
                </c:pt>
                <c:pt idx="16">
                  <c:v>15.7334477884565</c:v>
                </c:pt>
                <c:pt idx="17">
                  <c:v>16.305759037212798</c:v>
                </c:pt>
                <c:pt idx="18">
                  <c:v>16.858652859799001</c:v>
                </c:pt>
                <c:pt idx="19">
                  <c:v>17.3939809909857</c:v>
                </c:pt>
                <c:pt idx="20">
                  <c:v>17.913318318567701</c:v>
                </c:pt>
                <c:pt idx="21">
                  <c:v>18.4180175819738</c:v>
                </c:pt>
                <c:pt idx="22">
                  <c:v>18.909250913705101</c:v>
                </c:pt>
                <c:pt idx="23">
                  <c:v>19.388041896618098</c:v>
                </c:pt>
                <c:pt idx="24">
                  <c:v>19.855290656461801</c:v>
                </c:pt>
                <c:pt idx="25">
                  <c:v>20.311793754371902</c:v>
                </c:pt>
                <c:pt idx="26">
                  <c:v>21.6235556956489</c:v>
                </c:pt>
                <c:pt idx="27">
                  <c:v>25.5135678727701</c:v>
                </c:pt>
                <c:pt idx="28">
                  <c:v>28.884357882322199</c:v>
                </c:pt>
                <c:pt idx="29">
                  <c:v>31.9009422266755</c:v>
                </c:pt>
                <c:pt idx="30">
                  <c:v>34.655938879581697</c:v>
                </c:pt>
                <c:pt idx="31">
                  <c:v>37.207500376952503</c:v>
                </c:pt>
                <c:pt idx="32">
                  <c:v>39.594975299607697</c:v>
                </c:pt>
                <c:pt idx="33">
                  <c:v>41.846458077741303</c:v>
                </c:pt>
                <c:pt idx="34">
                  <c:v>43.982837997652901</c:v>
                </c:pt>
                <c:pt idx="35">
                  <c:v>46.020148011532903</c:v>
                </c:pt>
                <c:pt idx="36">
                  <c:v>47.971012160251703</c:v>
                </c:pt>
                <c:pt idx="37">
                  <c:v>49.8455814727307</c:v>
                </c:pt>
                <c:pt idx="38">
                  <c:v>51.652163333497001</c:v>
                </c:pt>
                <c:pt idx="39">
                  <c:v>53.397658766147003</c:v>
                </c:pt>
                <c:pt idx="40">
                  <c:v>55.087874767334199</c:v>
                </c:pt>
                <c:pt idx="41">
                  <c:v>56.727752741115303</c:v>
                </c:pt>
                <c:pt idx="42">
                  <c:v>58.321539037758001</c:v>
                </c:pt>
                <c:pt idx="43">
                  <c:v>59.872914580871601</c:v>
                </c:pt>
                <c:pt idx="44">
                  <c:v>61.3850949749527</c:v>
                </c:pt>
                <c:pt idx="45">
                  <c:v>62.860908916110901</c:v>
                </c:pt>
                <c:pt idx="46">
                  <c:v>64.302860390772693</c:v>
                </c:pt>
                <c:pt idx="47">
                  <c:v>65.713178580181506</c:v>
                </c:pt>
                <c:pt idx="48">
                  <c:v>67.093858316439395</c:v>
                </c:pt>
                <c:pt idx="49">
                  <c:v>68.446693188656397</c:v>
                </c:pt>
                <c:pt idx="50">
                  <c:v>69.773302868200801</c:v>
                </c:pt>
                <c:pt idx="51">
                  <c:v>71.075155840935693</c:v>
                </c:pt>
                <c:pt idx="52">
                  <c:v>72.353588456198395</c:v>
                </c:pt>
                <c:pt idx="53">
                  <c:v>81.247175017487706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1</c15:sqref>
                        </c15:formulaRef>
                      </c:ext>
                    </c:extLst>
                    <c:strCache>
                      <c:ptCount val="1"/>
                      <c:pt idx="0">
                        <c:v>Column CW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16A1-4591-BBD0-CA309A492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477257"/>
        <c:axId val="26533596"/>
      </c:scatterChart>
      <c:valAx>
        <c:axId val="99477257"/>
        <c:scaling>
          <c:orientation val="minMax"/>
          <c:min val="5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80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Drilling Time (min)</a:t>
                </a:r>
              </a:p>
            </c:rich>
          </c:tx>
          <c:layout>
            <c:manualLayout>
              <c:xMode val="edge"/>
              <c:yMode val="edge"/>
              <c:x val="0.37340017064846398"/>
              <c:y val="0.92248754948282496"/>
            </c:manualLayout>
          </c:layout>
          <c:overlay val="0"/>
          <c:spPr>
            <a:noFill/>
            <a:ln w="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00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26533596"/>
        <c:crosses val="autoZero"/>
        <c:crossBetween val="midCat"/>
      </c:valAx>
      <c:valAx>
        <c:axId val="26533596"/>
        <c:scaling>
          <c:orientation val="minMax"/>
          <c:max val="110"/>
          <c:min val="5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80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Total depth of invasion (in)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00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99477257"/>
        <c:crosses val="autoZero"/>
        <c:crossBetween val="midCat"/>
      </c:valAx>
      <c:spPr>
        <a:gradFill>
          <a:gsLst>
            <a:gs pos="0">
              <a:srgbClr val="C0C0C0"/>
            </a:gs>
            <a:gs pos="100000">
              <a:srgbClr val="FFFFCC"/>
            </a:gs>
          </a:gsLst>
          <a:lin ang="5400000"/>
        </a:gradFill>
        <a:ln w="12600">
          <a:solidFill>
            <a:srgbClr val="808080"/>
          </a:solidFill>
          <a:round/>
        </a:ln>
      </c:spPr>
    </c:plotArea>
    <c:plotVisOnly val="1"/>
    <c:dispBlanksAs val="gap"/>
    <c:showDLblsOverMax val="1"/>
  </c:chart>
  <c:spPr>
    <a:solidFill>
      <a:srgbClr val="FF99CC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80030410542321"/>
          <c:y val="7.1345931353644407E-2"/>
          <c:w val="0.77526609224531196"/>
          <c:h val="0.75729528216994502"/>
        </c:manualLayout>
      </c:layout>
      <c:scatterChart>
        <c:scatterStyle val="lineMarker"/>
        <c:varyColors val="0"/>
        <c:ser>
          <c:idx val="0"/>
          <c:order val="0"/>
          <c:spPr>
            <a:ln w="0">
              <a:solidFill>
                <a:srgbClr val="0000FF"/>
              </a:solidFill>
            </a:ln>
          </c:spPr>
          <c:marker>
            <c:symbol val="square"/>
            <c:size val="3"/>
            <c:spPr>
              <a:solidFill>
                <a:srgbClr val="00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64"/>
                <c:pt idx="0">
                  <c:v>81.247175017487706</c:v>
                </c:pt>
                <c:pt idx="1">
                  <c:v>80.225157289432701</c:v>
                </c:pt>
                <c:pt idx="2">
                  <c:v>79.189950599215294</c:v>
                </c:pt>
                <c:pt idx="3">
                  <c:v>78.141030769360299</c:v>
                </c:pt>
                <c:pt idx="4">
                  <c:v>77.077837952877601</c:v>
                </c:pt>
                <c:pt idx="5">
                  <c:v>75.999773139674502</c:v>
                </c:pt>
                <c:pt idx="6">
                  <c:v>74.906194210318404</c:v>
                </c:pt>
                <c:pt idx="7">
                  <c:v>73.796411463335303</c:v>
                </c:pt>
                <c:pt idx="8">
                  <c:v>72.669682527570103</c:v>
                </c:pt>
                <c:pt idx="9">
                  <c:v>71.525206553003201</c:v>
                </c:pt>
                <c:pt idx="10">
                  <c:v>70.362117550864795</c:v>
                </c:pt>
                <c:pt idx="11">
                  <c:v>69.179476725642104</c:v>
                </c:pt>
                <c:pt idx="12">
                  <c:v>67.976263605949995</c:v>
                </c:pt>
                <c:pt idx="13">
                  <c:v>66.7513657359723</c:v>
                </c:pt>
                <c:pt idx="14">
                  <c:v>65.503566631210902</c:v>
                </c:pt>
                <c:pt idx="15">
                  <c:v>64.231531627397999</c:v>
                </c:pt>
                <c:pt idx="16">
                  <c:v>62.933791153825801</c:v>
                </c:pt>
                <c:pt idx="17">
                  <c:v>61.608720833866599</c:v>
                </c:pt>
                <c:pt idx="18">
                  <c:v>60.254517644548898</c:v>
                </c:pt>
                <c:pt idx="19">
                  <c:v>58.869171137100302</c:v>
                </c:pt>
                <c:pt idx="20">
                  <c:v>57.450428407115801</c:v>
                </c:pt>
                <c:pt idx="21">
                  <c:v>55.995751070532897</c:v>
                </c:pt>
                <c:pt idx="22">
                  <c:v>54.502261895677599</c:v>
                </c:pt>
                <c:pt idx="23">
                  <c:v>52.966677878992698</c:v>
                </c:pt>
                <c:pt idx="24">
                  <c:v>51.385225301918403</c:v>
                </c:pt>
                <c:pt idx="25">
                  <c:v>49.753530458861498</c:v>
                </c:pt>
                <c:pt idx="26">
                  <c:v>48.066476955491503</c:v>
                </c:pt>
                <c:pt idx="27">
                  <c:v>46.318016156834098</c:v>
                </c:pt>
                <c:pt idx="28">
                  <c:v>44.500910490648202</c:v>
                </c:pt>
                <c:pt idx="29">
                  <c:v>42.606378023585002</c:v>
                </c:pt>
                <c:pt idx="30">
                  <c:v>40.848650657618201</c:v>
                </c:pt>
                <c:pt idx="31">
                  <c:v>39.011806838540998</c:v>
                </c:pt>
                <c:pt idx="32">
                  <c:v>37.084092075540198</c:v>
                </c:pt>
                <c:pt idx="33">
                  <c:v>35.050516363195698</c:v>
                </c:pt>
                <c:pt idx="34">
                  <c:v>32.891450402591701</c:v>
                </c:pt>
                <c:pt idx="35">
                  <c:v>30.580325731516599</c:v>
                </c:pt>
                <c:pt idx="36">
                  <c:v>28.0796213312281</c:v>
                </c:pt>
                <c:pt idx="37">
                  <c:v>25.3332577132248</c:v>
                </c:pt>
                <c:pt idx="38">
                  <c:v>22.250455245324101</c:v>
                </c:pt>
                <c:pt idx="39">
                  <c:v>21.834522210403598</c:v>
                </c:pt>
                <c:pt idx="40">
                  <c:v>21.410510542466</c:v>
                </c:pt>
                <c:pt idx="41">
                  <c:v>20.977930384608602</c:v>
                </c:pt>
                <c:pt idx="42">
                  <c:v>20.5362402779555</c:v>
                </c:pt>
                <c:pt idx="43">
                  <c:v>20.084839214849602</c:v>
                </c:pt>
                <c:pt idx="44">
                  <c:v>19.623057045700101</c:v>
                </c:pt>
                <c:pt idx="45">
                  <c:v>19.150142802371899</c:v>
                </c:pt>
                <c:pt idx="46">
                  <c:v>18.6652503568443</c:v>
                </c:pt>
                <c:pt idx="47">
                  <c:v>18.167420631892501</c:v>
                </c:pt>
                <c:pt idx="48">
                  <c:v>17.655559292997602</c:v>
                </c:pt>
                <c:pt idx="49">
                  <c:v>17.128408433972801</c:v>
                </c:pt>
                <c:pt idx="50">
                  <c:v>16.584510152953801</c:v>
                </c:pt>
                <c:pt idx="51">
                  <c:v>16.022158985163799</c:v>
                </c:pt>
                <c:pt idx="52">
                  <c:v>15.4393387189447</c:v>
                </c:pt>
                <c:pt idx="53">
                  <c:v>14.833636830216101</c:v>
                </c:pt>
                <c:pt idx="54">
                  <c:v>14.2021260078617</c:v>
                </c:pt>
                <c:pt idx="55">
                  <c:v>13.541195836248001</c:v>
                </c:pt>
                <c:pt idx="56">
                  <c:v>12.846306325479601</c:v>
                </c:pt>
                <c:pt idx="57">
                  <c:v>12.111613754595</c:v>
                </c:pt>
                <c:pt idx="58">
                  <c:v>11.3293772676583</c:v>
                </c:pt>
                <c:pt idx="59">
                  <c:v>10.488965192304301</c:v>
                </c:pt>
                <c:pt idx="60">
                  <c:v>9.5750714011859692</c:v>
                </c:pt>
                <c:pt idx="61">
                  <c:v>8.5642042169864006</c:v>
                </c:pt>
                <c:pt idx="62">
                  <c:v>7.4168184151080396</c:v>
                </c:pt>
                <c:pt idx="63">
                  <c:v>6.0558068772975098</c:v>
                </c:pt>
              </c:numCache>
            </c:numRef>
          </c:xVal>
          <c:yVal>
            <c:numRef>
              <c:f>1</c:f>
              <c:numCache>
                <c:formatCode>General</c:formatCode>
                <c:ptCount val="64"/>
                <c:pt idx="0">
                  <c:v>3600</c:v>
                </c:pt>
                <c:pt idx="1">
                  <c:v>3510</c:v>
                </c:pt>
                <c:pt idx="2">
                  <c:v>3420</c:v>
                </c:pt>
                <c:pt idx="3">
                  <c:v>3330</c:v>
                </c:pt>
                <c:pt idx="4">
                  <c:v>3240</c:v>
                </c:pt>
                <c:pt idx="5">
                  <c:v>3150</c:v>
                </c:pt>
                <c:pt idx="6">
                  <c:v>3060</c:v>
                </c:pt>
                <c:pt idx="7">
                  <c:v>2970</c:v>
                </c:pt>
                <c:pt idx="8">
                  <c:v>2880</c:v>
                </c:pt>
                <c:pt idx="9">
                  <c:v>2790</c:v>
                </c:pt>
                <c:pt idx="10">
                  <c:v>2700</c:v>
                </c:pt>
                <c:pt idx="11">
                  <c:v>2610</c:v>
                </c:pt>
                <c:pt idx="12">
                  <c:v>2520</c:v>
                </c:pt>
                <c:pt idx="13">
                  <c:v>2430</c:v>
                </c:pt>
                <c:pt idx="14">
                  <c:v>2340</c:v>
                </c:pt>
                <c:pt idx="15">
                  <c:v>2250</c:v>
                </c:pt>
                <c:pt idx="16">
                  <c:v>2160</c:v>
                </c:pt>
                <c:pt idx="17">
                  <c:v>2070</c:v>
                </c:pt>
                <c:pt idx="18">
                  <c:v>1980</c:v>
                </c:pt>
                <c:pt idx="19">
                  <c:v>1890</c:v>
                </c:pt>
                <c:pt idx="20">
                  <c:v>1800</c:v>
                </c:pt>
                <c:pt idx="21">
                  <c:v>1710</c:v>
                </c:pt>
                <c:pt idx="22">
                  <c:v>1620</c:v>
                </c:pt>
                <c:pt idx="23">
                  <c:v>1530</c:v>
                </c:pt>
                <c:pt idx="24">
                  <c:v>1440</c:v>
                </c:pt>
                <c:pt idx="25">
                  <c:v>1350</c:v>
                </c:pt>
                <c:pt idx="26">
                  <c:v>1260</c:v>
                </c:pt>
                <c:pt idx="27">
                  <c:v>1170</c:v>
                </c:pt>
                <c:pt idx="28">
                  <c:v>1080</c:v>
                </c:pt>
                <c:pt idx="29">
                  <c:v>990</c:v>
                </c:pt>
                <c:pt idx="30">
                  <c:v>910</c:v>
                </c:pt>
                <c:pt idx="31">
                  <c:v>830</c:v>
                </c:pt>
                <c:pt idx="32">
                  <c:v>750</c:v>
                </c:pt>
                <c:pt idx="33">
                  <c:v>670</c:v>
                </c:pt>
                <c:pt idx="34">
                  <c:v>590</c:v>
                </c:pt>
                <c:pt idx="35">
                  <c:v>510</c:v>
                </c:pt>
                <c:pt idx="36">
                  <c:v>430</c:v>
                </c:pt>
                <c:pt idx="37">
                  <c:v>350</c:v>
                </c:pt>
                <c:pt idx="38">
                  <c:v>270</c:v>
                </c:pt>
                <c:pt idx="39">
                  <c:v>260</c:v>
                </c:pt>
                <c:pt idx="40">
                  <c:v>250</c:v>
                </c:pt>
                <c:pt idx="41">
                  <c:v>240</c:v>
                </c:pt>
                <c:pt idx="42">
                  <c:v>230</c:v>
                </c:pt>
                <c:pt idx="43">
                  <c:v>220</c:v>
                </c:pt>
                <c:pt idx="44">
                  <c:v>210</c:v>
                </c:pt>
                <c:pt idx="45">
                  <c:v>200</c:v>
                </c:pt>
                <c:pt idx="46">
                  <c:v>190</c:v>
                </c:pt>
                <c:pt idx="47">
                  <c:v>180</c:v>
                </c:pt>
                <c:pt idx="48">
                  <c:v>170</c:v>
                </c:pt>
                <c:pt idx="49">
                  <c:v>160</c:v>
                </c:pt>
                <c:pt idx="50">
                  <c:v>150</c:v>
                </c:pt>
                <c:pt idx="51">
                  <c:v>140</c:v>
                </c:pt>
                <c:pt idx="52">
                  <c:v>130</c:v>
                </c:pt>
                <c:pt idx="53">
                  <c:v>120</c:v>
                </c:pt>
                <c:pt idx="54">
                  <c:v>110</c:v>
                </c:pt>
                <c:pt idx="55">
                  <c:v>100</c:v>
                </c:pt>
                <c:pt idx="56">
                  <c:v>90</c:v>
                </c:pt>
                <c:pt idx="57">
                  <c:v>80</c:v>
                </c:pt>
                <c:pt idx="58">
                  <c:v>70</c:v>
                </c:pt>
                <c:pt idx="59">
                  <c:v>60</c:v>
                </c:pt>
                <c:pt idx="60">
                  <c:v>50</c:v>
                </c:pt>
                <c:pt idx="61">
                  <c:v>40</c:v>
                </c:pt>
                <c:pt idx="62">
                  <c:v>30</c:v>
                </c:pt>
                <c:pt idx="63">
                  <c:v>20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1</c15:sqref>
                        </c15:formulaRef>
                      </c:ext>
                    </c:extLst>
                    <c:strCache>
                      <c:ptCount val="1"/>
                      <c:pt idx="0">
                        <c:v>Column CZ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0C9A-42E7-BEBC-FC936E274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306320"/>
        <c:axId val="30254731"/>
      </c:scatterChart>
      <c:valAx>
        <c:axId val="35306320"/>
        <c:scaling>
          <c:orientation val="minMax"/>
          <c:min val="4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800" b="1" u="none" strike="noStrike">
                    <a:solidFill>
                      <a:srgbClr val="000000"/>
                    </a:solidFill>
                    <a:uFillTx/>
                    <a:latin typeface="Arial"/>
                  </a:rPr>
                  <a:t>Depth of Invasion (inch)</a:t>
                </a:r>
              </a:p>
            </c:rich>
          </c:tx>
          <c:layout>
            <c:manualLayout>
              <c:xMode val="edge"/>
              <c:yMode val="edge"/>
              <c:x val="0.37516472377090698"/>
              <c:y val="0.91181385782234203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00" b="1" u="none" strike="noStrike">
                <a:solidFill>
                  <a:srgbClr val="000000"/>
                </a:solidFill>
                <a:uFillTx/>
                <a:latin typeface="Arial"/>
              </a:defRPr>
            </a:pPr>
            <a:endParaRPr lang="en-US"/>
          </a:p>
        </c:txPr>
        <c:crossAx val="30254731"/>
        <c:crosses val="autoZero"/>
        <c:crossBetween val="midCat"/>
        <c:majorUnit val="10"/>
      </c:valAx>
      <c:valAx>
        <c:axId val="30254731"/>
        <c:scaling>
          <c:orientation val="minMax"/>
          <c:min val="10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800" b="1" u="none" strike="noStrike">
                    <a:solidFill>
                      <a:srgbClr val="000000"/>
                    </a:solidFill>
                    <a:uFillTx/>
                    <a:latin typeface="Arial"/>
                  </a:rPr>
                  <a:t>Drilling Time (min)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00" b="1" u="none" strike="noStrike">
                <a:solidFill>
                  <a:srgbClr val="000000"/>
                </a:solidFill>
                <a:uFillTx/>
                <a:latin typeface="Arial"/>
              </a:defRPr>
            </a:pPr>
            <a:endParaRPr lang="en-US"/>
          </a:p>
        </c:txPr>
        <c:crossAx val="35306320"/>
        <c:crosses val="autoZero"/>
        <c:crossBetween val="midCat"/>
      </c:valAx>
      <c:spPr>
        <a:gradFill>
          <a:gsLst>
            <a:gs pos="0">
              <a:srgbClr val="C0C0C0"/>
            </a:gs>
            <a:gs pos="100000">
              <a:srgbClr val="FFFFCC"/>
            </a:gs>
          </a:gsLst>
          <a:lin ang="5400000"/>
        </a:gradFill>
        <a:ln w="12600">
          <a:solidFill>
            <a:srgbClr val="808080"/>
          </a:solidFill>
          <a:round/>
        </a:ln>
      </c:spPr>
    </c:plotArea>
    <c:plotVisOnly val="1"/>
    <c:dispBlanksAs val="gap"/>
    <c:showDLblsOverMax val="1"/>
  </c:chart>
  <c:spPr>
    <a:solidFill>
      <a:srgbClr val="FF99CC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3554466641537899"/>
          <c:y val="7.1826064449333496E-2"/>
          <c:w val="0.84236713154918996"/>
          <c:h val="0.79694577455674898"/>
        </c:manualLayout>
      </c:layout>
      <c:scatterChart>
        <c:scatterStyle val="lineMarker"/>
        <c:varyColors val="0"/>
        <c:ser>
          <c:idx val="0"/>
          <c:order val="0"/>
          <c:spPr>
            <a:ln w="0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'Geometry Rheology 3'!$BC$11:$BC$64</c:f>
              <c:numCache>
                <c:formatCode>0.00</c:formatCode>
                <c:ptCount val="54"/>
                <c:pt idx="0" formatCode="General">
                  <c:v>0</c:v>
                </c:pt>
                <c:pt idx="1">
                  <c:v>1</c:v>
                </c:pt>
                <c:pt idx="2" formatCode="General">
                  <c:v>2</c:v>
                </c:pt>
                <c:pt idx="3" formatCode="General">
                  <c:v>5</c:v>
                </c:pt>
                <c:pt idx="4" formatCode="General">
                  <c:v>10</c:v>
                </c:pt>
                <c:pt idx="5" formatCode="General">
                  <c:v>20</c:v>
                </c:pt>
                <c:pt idx="6" formatCode="General">
                  <c:v>30</c:v>
                </c:pt>
                <c:pt idx="7" formatCode="General">
                  <c:v>35</c:v>
                </c:pt>
                <c:pt idx="8" formatCode="General">
                  <c:v>45</c:v>
                </c:pt>
                <c:pt idx="9" formatCode="General">
                  <c:v>55</c:v>
                </c:pt>
                <c:pt idx="10" formatCode="General">
                  <c:v>65</c:v>
                </c:pt>
                <c:pt idx="11" formatCode="General">
                  <c:v>75</c:v>
                </c:pt>
                <c:pt idx="12" formatCode="General">
                  <c:v>85</c:v>
                </c:pt>
                <c:pt idx="13" formatCode="General">
                  <c:v>95</c:v>
                </c:pt>
                <c:pt idx="14" formatCode="General">
                  <c:v>105</c:v>
                </c:pt>
                <c:pt idx="15" formatCode="General">
                  <c:v>115</c:v>
                </c:pt>
                <c:pt idx="16" formatCode="General">
                  <c:v>125</c:v>
                </c:pt>
                <c:pt idx="17" formatCode="General">
                  <c:v>135</c:v>
                </c:pt>
                <c:pt idx="18" formatCode="General">
                  <c:v>145</c:v>
                </c:pt>
                <c:pt idx="19" formatCode="General">
                  <c:v>155</c:v>
                </c:pt>
                <c:pt idx="20" formatCode="General">
                  <c:v>165</c:v>
                </c:pt>
                <c:pt idx="21" formatCode="General">
                  <c:v>175</c:v>
                </c:pt>
                <c:pt idx="22" formatCode="General">
                  <c:v>185</c:v>
                </c:pt>
                <c:pt idx="23" formatCode="General">
                  <c:v>195</c:v>
                </c:pt>
                <c:pt idx="24" formatCode="General">
                  <c:v>205</c:v>
                </c:pt>
                <c:pt idx="25" formatCode="General">
                  <c:v>215</c:v>
                </c:pt>
                <c:pt idx="26" formatCode="General">
                  <c:v>225</c:v>
                </c:pt>
                <c:pt idx="27" formatCode="General">
                  <c:v>255</c:v>
                </c:pt>
                <c:pt idx="28" formatCode="General">
                  <c:v>355</c:v>
                </c:pt>
                <c:pt idx="29" formatCode="General">
                  <c:v>455</c:v>
                </c:pt>
                <c:pt idx="30" formatCode="General">
                  <c:v>555</c:v>
                </c:pt>
                <c:pt idx="31" formatCode="General">
                  <c:v>655</c:v>
                </c:pt>
                <c:pt idx="32" formatCode="General">
                  <c:v>755</c:v>
                </c:pt>
                <c:pt idx="33" formatCode="General">
                  <c:v>855</c:v>
                </c:pt>
                <c:pt idx="34" formatCode="General">
                  <c:v>955</c:v>
                </c:pt>
                <c:pt idx="35" formatCode="General">
                  <c:v>1055</c:v>
                </c:pt>
                <c:pt idx="36" formatCode="General">
                  <c:v>1155</c:v>
                </c:pt>
                <c:pt idx="37" formatCode="General">
                  <c:v>1255</c:v>
                </c:pt>
                <c:pt idx="38" formatCode="General">
                  <c:v>1355</c:v>
                </c:pt>
                <c:pt idx="39" formatCode="General">
                  <c:v>1455</c:v>
                </c:pt>
                <c:pt idx="40" formatCode="General">
                  <c:v>1555</c:v>
                </c:pt>
                <c:pt idx="41" formatCode="General">
                  <c:v>1655</c:v>
                </c:pt>
                <c:pt idx="42" formatCode="General">
                  <c:v>1755</c:v>
                </c:pt>
                <c:pt idx="43" formatCode="General">
                  <c:v>1855</c:v>
                </c:pt>
                <c:pt idx="44" formatCode="General">
                  <c:v>1955</c:v>
                </c:pt>
                <c:pt idx="45" formatCode="General">
                  <c:v>2055</c:v>
                </c:pt>
                <c:pt idx="46" formatCode="General">
                  <c:v>2155</c:v>
                </c:pt>
                <c:pt idx="47" formatCode="General">
                  <c:v>2255</c:v>
                </c:pt>
                <c:pt idx="48" formatCode="General">
                  <c:v>2355</c:v>
                </c:pt>
                <c:pt idx="49" formatCode="General">
                  <c:v>2455</c:v>
                </c:pt>
                <c:pt idx="50" formatCode="General">
                  <c:v>2555</c:v>
                </c:pt>
                <c:pt idx="51" formatCode="General">
                  <c:v>2655</c:v>
                </c:pt>
                <c:pt idx="52" formatCode="General">
                  <c:v>2755</c:v>
                </c:pt>
                <c:pt idx="53" formatCode="General">
                  <c:v>2855</c:v>
                </c:pt>
              </c:numCache>
            </c:numRef>
          </c:xVal>
          <c:yVal>
            <c:numRef>
              <c:f>'Geometry Rheology 3'!$AV$11:$AV$64</c:f>
              <c:numCache>
                <c:formatCode>0</c:formatCode>
                <c:ptCount val="54"/>
                <c:pt idx="0" formatCode="General">
                  <c:v>0</c:v>
                </c:pt>
                <c:pt idx="1">
                  <c:v>120.273067118843</c:v>
                </c:pt>
                <c:pt idx="2">
                  <c:v>147.41614825035199</c:v>
                </c:pt>
                <c:pt idx="3">
                  <c:v>192.45665820899799</c:v>
                </c:pt>
                <c:pt idx="4">
                  <c:v>226.894400958153</c:v>
                </c:pt>
                <c:pt idx="5">
                  <c:v>256.78714232061702</c:v>
                </c:pt>
                <c:pt idx="6">
                  <c:v>271.41818445843597</c:v>
                </c:pt>
                <c:pt idx="7">
                  <c:v>276.41536201736</c:v>
                </c:pt>
                <c:pt idx="8">
                  <c:v>283.91915125653702</c:v>
                </c:pt>
                <c:pt idx="9">
                  <c:v>289.36357169425401</c:v>
                </c:pt>
                <c:pt idx="10">
                  <c:v>293.54567835614</c:v>
                </c:pt>
                <c:pt idx="11">
                  <c:v>296.88826712095801</c:v>
                </c:pt>
                <c:pt idx="12">
                  <c:v>299.63920340772398</c:v>
                </c:pt>
                <c:pt idx="13">
                  <c:v>301.95467823546898</c:v>
                </c:pt>
                <c:pt idx="14">
                  <c:v>303.938650262377</c:v>
                </c:pt>
                <c:pt idx="15">
                  <c:v>305.66335135959002</c:v>
                </c:pt>
                <c:pt idx="16">
                  <c:v>307.18074023032898</c:v>
                </c:pt>
                <c:pt idx="17">
                  <c:v>308.529276591761</c:v>
                </c:pt>
                <c:pt idx="18">
                  <c:v>309.73811950930002</c:v>
                </c:pt>
                <c:pt idx="19">
                  <c:v>310.829832751499</c:v>
                </c:pt>
                <c:pt idx="20">
                  <c:v>311.82218660236799</c:v>
                </c:pt>
                <c:pt idx="21">
                  <c:v>312.72939239455201</c:v>
                </c:pt>
                <c:pt idx="22">
                  <c:v>313.56296943308502</c:v>
                </c:pt>
                <c:pt idx="23">
                  <c:v>314.33236704513502</c:v>
                </c:pt>
                <c:pt idx="24">
                  <c:v>315.04541951422902</c:v>
                </c:pt>
                <c:pt idx="25">
                  <c:v>315.70868449145701</c:v>
                </c:pt>
                <c:pt idx="26">
                  <c:v>316.32769858857603</c:v>
                </c:pt>
                <c:pt idx="27">
                  <c:v>317.963099388074</c:v>
                </c:pt>
                <c:pt idx="28">
                  <c:v>321.83537919670999</c:v>
                </c:pt>
                <c:pt idx="29">
                  <c:v>324.35493817157999</c:v>
                </c:pt>
                <c:pt idx="30">
                  <c:v>326.16150287685599</c:v>
                </c:pt>
                <c:pt idx="31">
                  <c:v>327.53826780189502</c:v>
                </c:pt>
                <c:pt idx="32">
                  <c:v>328.63243877290103</c:v>
                </c:pt>
                <c:pt idx="33">
                  <c:v>329.52910499458397</c:v>
                </c:pt>
                <c:pt idx="34">
                  <c:v>330.28132760909898</c:v>
                </c:pt>
                <c:pt idx="35">
                  <c:v>330.92413997133798</c:v>
                </c:pt>
                <c:pt idx="36">
                  <c:v>331.48172817403298</c:v>
                </c:pt>
                <c:pt idx="37">
                  <c:v>331.97139936439601</c:v>
                </c:pt>
                <c:pt idx="38">
                  <c:v>332.40590872287601</c:v>
                </c:pt>
                <c:pt idx="39">
                  <c:v>332.794891443918</c:v>
                </c:pt>
                <c:pt idx="40">
                  <c:v>333.145780015399</c:v>
                </c:pt>
                <c:pt idx="41">
                  <c:v>333.46441205376499</c:v>
                </c:pt>
                <c:pt idx="42">
                  <c:v>333.75544495223897</c:v>
                </c:pt>
                <c:pt idx="43">
                  <c:v>334.02264595021802</c:v>
                </c:pt>
                <c:pt idx="44">
                  <c:v>334.26909957159899</c:v>
                </c:pt>
                <c:pt idx="45">
                  <c:v>334.49735888341797</c:v>
                </c:pt>
                <c:pt idx="46">
                  <c:v>334.70955771375799</c:v>
                </c:pt>
                <c:pt idx="47">
                  <c:v>334.95493560018502</c:v>
                </c:pt>
                <c:pt idx="48">
                  <c:v>335.09270041618498</c:v>
                </c:pt>
                <c:pt idx="49">
                  <c:v>335.26648231252801</c:v>
                </c:pt>
                <c:pt idx="50">
                  <c:v>335.429968889642</c:v>
                </c:pt>
                <c:pt idx="51">
                  <c:v>335.58413812189701</c:v>
                </c:pt>
                <c:pt idx="52">
                  <c:v>335.72984267781601</c:v>
                </c:pt>
                <c:pt idx="53">
                  <c:v>335.86782983449399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94-46DE-AABF-C14C00E94AED}"/>
            </c:ext>
          </c:extLst>
        </c:ser>
        <c:ser>
          <c:idx val="1"/>
          <c:order val="1"/>
          <c:spPr>
            <a:ln w="0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'Geometry Rheology 3'!$BC$11:$BC$64</c:f>
              <c:numCache>
                <c:formatCode>0.00</c:formatCode>
                <c:ptCount val="54"/>
                <c:pt idx="0" formatCode="General">
                  <c:v>0</c:v>
                </c:pt>
                <c:pt idx="1">
                  <c:v>1</c:v>
                </c:pt>
                <c:pt idx="2" formatCode="General">
                  <c:v>2</c:v>
                </c:pt>
                <c:pt idx="3" formatCode="General">
                  <c:v>5</c:v>
                </c:pt>
                <c:pt idx="4" formatCode="General">
                  <c:v>10</c:v>
                </c:pt>
                <c:pt idx="5" formatCode="General">
                  <c:v>20</c:v>
                </c:pt>
                <c:pt idx="6" formatCode="General">
                  <c:v>30</c:v>
                </c:pt>
                <c:pt idx="7" formatCode="General">
                  <c:v>35</c:v>
                </c:pt>
                <c:pt idx="8" formatCode="General">
                  <c:v>45</c:v>
                </c:pt>
                <c:pt idx="9" formatCode="General">
                  <c:v>55</c:v>
                </c:pt>
                <c:pt idx="10" formatCode="General">
                  <c:v>65</c:v>
                </c:pt>
                <c:pt idx="11" formatCode="General">
                  <c:v>75</c:v>
                </c:pt>
                <c:pt idx="12" formatCode="General">
                  <c:v>85</c:v>
                </c:pt>
                <c:pt idx="13" formatCode="General">
                  <c:v>95</c:v>
                </c:pt>
                <c:pt idx="14" formatCode="General">
                  <c:v>105</c:v>
                </c:pt>
                <c:pt idx="15" formatCode="General">
                  <c:v>115</c:v>
                </c:pt>
                <c:pt idx="16" formatCode="General">
                  <c:v>125</c:v>
                </c:pt>
                <c:pt idx="17" formatCode="General">
                  <c:v>135</c:v>
                </c:pt>
                <c:pt idx="18" formatCode="General">
                  <c:v>145</c:v>
                </c:pt>
                <c:pt idx="19" formatCode="General">
                  <c:v>155</c:v>
                </c:pt>
                <c:pt idx="20" formatCode="General">
                  <c:v>165</c:v>
                </c:pt>
                <c:pt idx="21" formatCode="General">
                  <c:v>175</c:v>
                </c:pt>
                <c:pt idx="22" formatCode="General">
                  <c:v>185</c:v>
                </c:pt>
                <c:pt idx="23" formatCode="General">
                  <c:v>195</c:v>
                </c:pt>
                <c:pt idx="24" formatCode="General">
                  <c:v>205</c:v>
                </c:pt>
                <c:pt idx="25" formatCode="General">
                  <c:v>215</c:v>
                </c:pt>
                <c:pt idx="26" formatCode="General">
                  <c:v>225</c:v>
                </c:pt>
                <c:pt idx="27" formatCode="General">
                  <c:v>255</c:v>
                </c:pt>
                <c:pt idx="28" formatCode="General">
                  <c:v>355</c:v>
                </c:pt>
                <c:pt idx="29" formatCode="General">
                  <c:v>455</c:v>
                </c:pt>
                <c:pt idx="30" formatCode="General">
                  <c:v>555</c:v>
                </c:pt>
                <c:pt idx="31" formatCode="General">
                  <c:v>655</c:v>
                </c:pt>
                <c:pt idx="32" formatCode="General">
                  <c:v>755</c:v>
                </c:pt>
                <c:pt idx="33" formatCode="General">
                  <c:v>855</c:v>
                </c:pt>
                <c:pt idx="34" formatCode="General">
                  <c:v>955</c:v>
                </c:pt>
                <c:pt idx="35" formatCode="General">
                  <c:v>1055</c:v>
                </c:pt>
                <c:pt idx="36" formatCode="General">
                  <c:v>1155</c:v>
                </c:pt>
                <c:pt idx="37" formatCode="General">
                  <c:v>1255</c:v>
                </c:pt>
                <c:pt idx="38" formatCode="General">
                  <c:v>1355</c:v>
                </c:pt>
                <c:pt idx="39" formatCode="General">
                  <c:v>1455</c:v>
                </c:pt>
                <c:pt idx="40" formatCode="General">
                  <c:v>1555</c:v>
                </c:pt>
                <c:pt idx="41" formatCode="General">
                  <c:v>1655</c:v>
                </c:pt>
                <c:pt idx="42" formatCode="General">
                  <c:v>1755</c:v>
                </c:pt>
                <c:pt idx="43" formatCode="General">
                  <c:v>1855</c:v>
                </c:pt>
                <c:pt idx="44" formatCode="General">
                  <c:v>1955</c:v>
                </c:pt>
                <c:pt idx="45" formatCode="General">
                  <c:v>2055</c:v>
                </c:pt>
                <c:pt idx="46" formatCode="General">
                  <c:v>2155</c:v>
                </c:pt>
                <c:pt idx="47" formatCode="General">
                  <c:v>2255</c:v>
                </c:pt>
                <c:pt idx="48" formatCode="General">
                  <c:v>2355</c:v>
                </c:pt>
                <c:pt idx="49" formatCode="General">
                  <c:v>2455</c:v>
                </c:pt>
                <c:pt idx="50" formatCode="General">
                  <c:v>2555</c:v>
                </c:pt>
                <c:pt idx="51" formatCode="General">
                  <c:v>2655</c:v>
                </c:pt>
                <c:pt idx="52" formatCode="General">
                  <c:v>2755</c:v>
                </c:pt>
                <c:pt idx="53" formatCode="General">
                  <c:v>2855</c:v>
                </c:pt>
              </c:numCache>
            </c:numRef>
          </c:xVal>
          <c:yVal>
            <c:numRef>
              <c:f>'Geometry Rheology 3'!$AW$11:$AW$64</c:f>
              <c:numCache>
                <c:formatCode>General</c:formatCode>
                <c:ptCount val="54"/>
                <c:pt idx="0" formatCode="0">
                  <c:v>343.54586691227399</c:v>
                </c:pt>
                <c:pt idx="1">
                  <c:v>223.27279979343101</c:v>
                </c:pt>
                <c:pt idx="2">
                  <c:v>196.12971866192299</c:v>
                </c:pt>
                <c:pt idx="3">
                  <c:v>151.089208703277</c:v>
                </c:pt>
                <c:pt idx="4">
                  <c:v>116.65146595412099</c:v>
                </c:pt>
                <c:pt idx="5">
                  <c:v>86.758724591657398</c:v>
                </c:pt>
                <c:pt idx="6">
                  <c:v>72.127682453838801</c:v>
                </c:pt>
                <c:pt idx="7">
                  <c:v>67.130504894914395</c:v>
                </c:pt>
                <c:pt idx="8">
                  <c:v>59.6267156557373</c:v>
                </c:pt>
                <c:pt idx="9">
                  <c:v>54.182295218020101</c:v>
                </c:pt>
                <c:pt idx="10">
                  <c:v>50.000188556134802</c:v>
                </c:pt>
                <c:pt idx="11">
                  <c:v>46.657599791316102</c:v>
                </c:pt>
                <c:pt idx="12">
                  <c:v>43.9066635045507</c:v>
                </c:pt>
                <c:pt idx="13">
                  <c:v>41.5911886768058</c:v>
                </c:pt>
                <c:pt idx="14">
                  <c:v>39.607216649896998</c:v>
                </c:pt>
                <c:pt idx="15">
                  <c:v>37.882515552684097</c:v>
                </c:pt>
                <c:pt idx="16">
                  <c:v>36.365126681945398</c:v>
                </c:pt>
                <c:pt idx="17">
                  <c:v>35.016590320513799</c:v>
                </c:pt>
                <c:pt idx="18">
                  <c:v>33.807747402974499</c:v>
                </c:pt>
                <c:pt idx="19">
                  <c:v>32.716034160775102</c:v>
                </c:pt>
                <c:pt idx="20">
                  <c:v>31.7236803099063</c:v>
                </c:pt>
                <c:pt idx="21">
                  <c:v>30.816474517722</c:v>
                </c:pt>
                <c:pt idx="22">
                  <c:v>29.9828974791895</c:v>
                </c:pt>
                <c:pt idx="23">
                  <c:v>29.213499867139198</c:v>
                </c:pt>
                <c:pt idx="24">
                  <c:v>28.5004473980459</c:v>
                </c:pt>
                <c:pt idx="25">
                  <c:v>27.8371824208178</c:v>
                </c:pt>
                <c:pt idx="26">
                  <c:v>27.218168323698301</c:v>
                </c:pt>
                <c:pt idx="27">
                  <c:v>25.582767524200602</c:v>
                </c:pt>
                <c:pt idx="28">
                  <c:v>21.710487715564</c:v>
                </c:pt>
                <c:pt idx="29">
                  <c:v>19.190928740694101</c:v>
                </c:pt>
                <c:pt idx="30">
                  <c:v>17.3843640354185</c:v>
                </c:pt>
                <c:pt idx="31">
                  <c:v>16.007599110379299</c:v>
                </c:pt>
                <c:pt idx="32">
                  <c:v>14.9134281393734</c:v>
                </c:pt>
                <c:pt idx="33">
                  <c:v>14.0167619176902</c:v>
                </c:pt>
                <c:pt idx="34">
                  <c:v>13.264539303175701</c:v>
                </c:pt>
                <c:pt idx="35">
                  <c:v>12.621726940936901</c:v>
                </c:pt>
                <c:pt idx="36">
                  <c:v>12.064138738241599</c:v>
                </c:pt>
                <c:pt idx="37">
                  <c:v>11.574467547877999</c:v>
                </c:pt>
                <c:pt idx="38">
                  <c:v>11.1399581893986</c:v>
                </c:pt>
                <c:pt idx="39">
                  <c:v>10.7509754683562</c:v>
                </c:pt>
                <c:pt idx="40">
                  <c:v>10.4000868968749</c:v>
                </c:pt>
                <c:pt idx="41">
                  <c:v>10.0814548585096</c:v>
                </c:pt>
                <c:pt idx="42">
                  <c:v>9.7904219600357791</c:v>
                </c:pt>
                <c:pt idx="43">
                  <c:v>9.5232209620568806</c:v>
                </c:pt>
                <c:pt idx="44">
                  <c:v>9.2767673406756792</c:v>
                </c:pt>
                <c:pt idx="45">
                  <c:v>9.0485080288568795</c:v>
                </c:pt>
                <c:pt idx="46">
                  <c:v>8.8363091985159308</c:v>
                </c:pt>
                <c:pt idx="47">
                  <c:v>8.5909313120894595</c:v>
                </c:pt>
                <c:pt idx="48">
                  <c:v>8.4531664960894108</c:v>
                </c:pt>
                <c:pt idx="49">
                  <c:v>8.2793845997467397</c:v>
                </c:pt>
                <c:pt idx="50">
                  <c:v>8.1158980226329192</c:v>
                </c:pt>
                <c:pt idx="51">
                  <c:v>7.96172879037759</c:v>
                </c:pt>
                <c:pt idx="52">
                  <c:v>7.81602423445801</c:v>
                </c:pt>
                <c:pt idx="53">
                  <c:v>7.67803707778004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C94-46DE-AABF-C14C00E94AED}"/>
            </c:ext>
          </c:extLst>
        </c:ser>
        <c:ser>
          <c:idx val="2"/>
          <c:order val="2"/>
          <c:spPr>
            <a:ln w="0">
              <a:solidFill>
                <a:srgbClr val="FFFF00"/>
              </a:solidFill>
            </a:ln>
          </c:spPr>
          <c:marker>
            <c:symbol val="triangle"/>
            <c:size val="3"/>
            <c:spPr>
              <a:solidFill>
                <a:srgbClr val="FFFF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'Geometry Rheology 3'!$BC$11:$BC$65</c:f>
              <c:numCache>
                <c:formatCode>0.00</c:formatCode>
                <c:ptCount val="55"/>
                <c:pt idx="0" formatCode="General">
                  <c:v>0</c:v>
                </c:pt>
                <c:pt idx="1">
                  <c:v>1</c:v>
                </c:pt>
                <c:pt idx="2" formatCode="General">
                  <c:v>2</c:v>
                </c:pt>
                <c:pt idx="3" formatCode="General">
                  <c:v>5</c:v>
                </c:pt>
                <c:pt idx="4" formatCode="General">
                  <c:v>10</c:v>
                </c:pt>
                <c:pt idx="5" formatCode="General">
                  <c:v>20</c:v>
                </c:pt>
                <c:pt idx="6" formatCode="General">
                  <c:v>30</c:v>
                </c:pt>
                <c:pt idx="7" formatCode="General">
                  <c:v>35</c:v>
                </c:pt>
                <c:pt idx="8" formatCode="General">
                  <c:v>45</c:v>
                </c:pt>
                <c:pt idx="9" formatCode="General">
                  <c:v>55</c:v>
                </c:pt>
                <c:pt idx="10" formatCode="General">
                  <c:v>65</c:v>
                </c:pt>
                <c:pt idx="11" formatCode="General">
                  <c:v>75</c:v>
                </c:pt>
                <c:pt idx="12" formatCode="General">
                  <c:v>85</c:v>
                </c:pt>
                <c:pt idx="13" formatCode="General">
                  <c:v>95</c:v>
                </c:pt>
                <c:pt idx="14" formatCode="General">
                  <c:v>105</c:v>
                </c:pt>
                <c:pt idx="15" formatCode="General">
                  <c:v>115</c:v>
                </c:pt>
                <c:pt idx="16" formatCode="General">
                  <c:v>125</c:v>
                </c:pt>
                <c:pt idx="17" formatCode="General">
                  <c:v>135</c:v>
                </c:pt>
                <c:pt idx="18" formatCode="General">
                  <c:v>145</c:v>
                </c:pt>
                <c:pt idx="19" formatCode="General">
                  <c:v>155</c:v>
                </c:pt>
                <c:pt idx="20" formatCode="General">
                  <c:v>165</c:v>
                </c:pt>
                <c:pt idx="21" formatCode="General">
                  <c:v>175</c:v>
                </c:pt>
                <c:pt idx="22" formatCode="General">
                  <c:v>185</c:v>
                </c:pt>
                <c:pt idx="23" formatCode="General">
                  <c:v>195</c:v>
                </c:pt>
                <c:pt idx="24" formatCode="General">
                  <c:v>205</c:v>
                </c:pt>
                <c:pt idx="25" formatCode="General">
                  <c:v>215</c:v>
                </c:pt>
                <c:pt idx="26" formatCode="General">
                  <c:v>225</c:v>
                </c:pt>
                <c:pt idx="27" formatCode="General">
                  <c:v>255</c:v>
                </c:pt>
                <c:pt idx="28" formatCode="General">
                  <c:v>355</c:v>
                </c:pt>
                <c:pt idx="29" formatCode="General">
                  <c:v>455</c:v>
                </c:pt>
                <c:pt idx="30" formatCode="General">
                  <c:v>555</c:v>
                </c:pt>
                <c:pt idx="31" formatCode="General">
                  <c:v>655</c:v>
                </c:pt>
                <c:pt idx="32" formatCode="General">
                  <c:v>755</c:v>
                </c:pt>
                <c:pt idx="33" formatCode="General">
                  <c:v>855</c:v>
                </c:pt>
                <c:pt idx="34" formatCode="General">
                  <c:v>955</c:v>
                </c:pt>
                <c:pt idx="35" formatCode="General">
                  <c:v>1055</c:v>
                </c:pt>
                <c:pt idx="36" formatCode="General">
                  <c:v>1155</c:v>
                </c:pt>
                <c:pt idx="37" formatCode="General">
                  <c:v>1255</c:v>
                </c:pt>
                <c:pt idx="38" formatCode="General">
                  <c:v>1355</c:v>
                </c:pt>
                <c:pt idx="39" formatCode="General">
                  <c:v>1455</c:v>
                </c:pt>
                <c:pt idx="40" formatCode="General">
                  <c:v>1555</c:v>
                </c:pt>
                <c:pt idx="41" formatCode="General">
                  <c:v>1655</c:v>
                </c:pt>
                <c:pt idx="42" formatCode="General">
                  <c:v>1755</c:v>
                </c:pt>
                <c:pt idx="43" formatCode="General">
                  <c:v>1855</c:v>
                </c:pt>
                <c:pt idx="44" formatCode="General">
                  <c:v>1955</c:v>
                </c:pt>
                <c:pt idx="45" formatCode="General">
                  <c:v>2055</c:v>
                </c:pt>
                <c:pt idx="46" formatCode="General">
                  <c:v>2155</c:v>
                </c:pt>
                <c:pt idx="47" formatCode="General">
                  <c:v>2255</c:v>
                </c:pt>
                <c:pt idx="48" formatCode="General">
                  <c:v>2355</c:v>
                </c:pt>
                <c:pt idx="49" formatCode="General">
                  <c:v>2455</c:v>
                </c:pt>
                <c:pt idx="50" formatCode="General">
                  <c:v>2555</c:v>
                </c:pt>
                <c:pt idx="51" formatCode="General">
                  <c:v>2655</c:v>
                </c:pt>
                <c:pt idx="52" formatCode="General">
                  <c:v>2755</c:v>
                </c:pt>
                <c:pt idx="53" formatCode="General">
                  <c:v>2855</c:v>
                </c:pt>
                <c:pt idx="54">
                  <c:v>3600</c:v>
                </c:pt>
              </c:numCache>
            </c:numRef>
          </c:xVal>
          <c:yVal>
            <c:numRef>
              <c:f>'Geometry Rheology 3'!$BF$11:$BF$65</c:f>
              <c:numCache>
                <c:formatCode>0.00</c:formatCode>
                <c:ptCount val="55"/>
                <c:pt idx="0" formatCode="General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C94-46DE-AABF-C14C00E94AED}"/>
            </c:ext>
          </c:extLst>
        </c:ser>
        <c:ser>
          <c:idx val="3"/>
          <c:order val="3"/>
          <c:spPr>
            <a:ln w="0">
              <a:solidFill>
                <a:srgbClr val="00FFFF"/>
              </a:solidFill>
            </a:ln>
          </c:spPr>
          <c:marker>
            <c:symbol val="x"/>
            <c:size val="3"/>
            <c:spPr>
              <a:solidFill>
                <a:srgbClr val="00FF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'Geometry Rheology 3'!$BC$11:$BC$65</c:f>
              <c:numCache>
                <c:formatCode>0.00</c:formatCode>
                <c:ptCount val="55"/>
                <c:pt idx="0" formatCode="General">
                  <c:v>0</c:v>
                </c:pt>
                <c:pt idx="1">
                  <c:v>1</c:v>
                </c:pt>
                <c:pt idx="2" formatCode="General">
                  <c:v>2</c:v>
                </c:pt>
                <c:pt idx="3" formatCode="General">
                  <c:v>5</c:v>
                </c:pt>
                <c:pt idx="4" formatCode="General">
                  <c:v>10</c:v>
                </c:pt>
                <c:pt idx="5" formatCode="General">
                  <c:v>20</c:v>
                </c:pt>
                <c:pt idx="6" formatCode="General">
                  <c:v>30</c:v>
                </c:pt>
                <c:pt idx="7" formatCode="General">
                  <c:v>35</c:v>
                </c:pt>
                <c:pt idx="8" formatCode="General">
                  <c:v>45</c:v>
                </c:pt>
                <c:pt idx="9" formatCode="General">
                  <c:v>55</c:v>
                </c:pt>
                <c:pt idx="10" formatCode="General">
                  <c:v>65</c:v>
                </c:pt>
                <c:pt idx="11" formatCode="General">
                  <c:v>75</c:v>
                </c:pt>
                <c:pt idx="12" formatCode="General">
                  <c:v>85</c:v>
                </c:pt>
                <c:pt idx="13" formatCode="General">
                  <c:v>95</c:v>
                </c:pt>
                <c:pt idx="14" formatCode="General">
                  <c:v>105</c:v>
                </c:pt>
                <c:pt idx="15" formatCode="General">
                  <c:v>115</c:v>
                </c:pt>
                <c:pt idx="16" formatCode="General">
                  <c:v>125</c:v>
                </c:pt>
                <c:pt idx="17" formatCode="General">
                  <c:v>135</c:v>
                </c:pt>
                <c:pt idx="18" formatCode="General">
                  <c:v>145</c:v>
                </c:pt>
                <c:pt idx="19" formatCode="General">
                  <c:v>155</c:v>
                </c:pt>
                <c:pt idx="20" formatCode="General">
                  <c:v>165</c:v>
                </c:pt>
                <c:pt idx="21" formatCode="General">
                  <c:v>175</c:v>
                </c:pt>
                <c:pt idx="22" formatCode="General">
                  <c:v>185</c:v>
                </c:pt>
                <c:pt idx="23" formatCode="General">
                  <c:v>195</c:v>
                </c:pt>
                <c:pt idx="24" formatCode="General">
                  <c:v>205</c:v>
                </c:pt>
                <c:pt idx="25" formatCode="General">
                  <c:v>215</c:v>
                </c:pt>
                <c:pt idx="26" formatCode="General">
                  <c:v>225</c:v>
                </c:pt>
                <c:pt idx="27" formatCode="General">
                  <c:v>255</c:v>
                </c:pt>
                <c:pt idx="28" formatCode="General">
                  <c:v>355</c:v>
                </c:pt>
                <c:pt idx="29" formatCode="General">
                  <c:v>455</c:v>
                </c:pt>
                <c:pt idx="30" formatCode="General">
                  <c:v>555</c:v>
                </c:pt>
                <c:pt idx="31" formatCode="General">
                  <c:v>655</c:v>
                </c:pt>
                <c:pt idx="32" formatCode="General">
                  <c:v>755</c:v>
                </c:pt>
                <c:pt idx="33" formatCode="General">
                  <c:v>855</c:v>
                </c:pt>
                <c:pt idx="34" formatCode="General">
                  <c:v>955</c:v>
                </c:pt>
                <c:pt idx="35" formatCode="General">
                  <c:v>1055</c:v>
                </c:pt>
                <c:pt idx="36" formatCode="General">
                  <c:v>1155</c:v>
                </c:pt>
                <c:pt idx="37" formatCode="General">
                  <c:v>1255</c:v>
                </c:pt>
                <c:pt idx="38" formatCode="General">
                  <c:v>1355</c:v>
                </c:pt>
                <c:pt idx="39" formatCode="General">
                  <c:v>1455</c:v>
                </c:pt>
                <c:pt idx="40" formatCode="General">
                  <c:v>1555</c:v>
                </c:pt>
                <c:pt idx="41" formatCode="General">
                  <c:v>1655</c:v>
                </c:pt>
                <c:pt idx="42" formatCode="General">
                  <c:v>1755</c:v>
                </c:pt>
                <c:pt idx="43" formatCode="General">
                  <c:v>1855</c:v>
                </c:pt>
                <c:pt idx="44" formatCode="General">
                  <c:v>1955</c:v>
                </c:pt>
                <c:pt idx="45" formatCode="General">
                  <c:v>2055</c:v>
                </c:pt>
                <c:pt idx="46" formatCode="General">
                  <c:v>2155</c:v>
                </c:pt>
                <c:pt idx="47" formatCode="General">
                  <c:v>2255</c:v>
                </c:pt>
                <c:pt idx="48" formatCode="General">
                  <c:v>2355</c:v>
                </c:pt>
                <c:pt idx="49" formatCode="General">
                  <c:v>2455</c:v>
                </c:pt>
                <c:pt idx="50" formatCode="General">
                  <c:v>2555</c:v>
                </c:pt>
                <c:pt idx="51" formatCode="General">
                  <c:v>2655</c:v>
                </c:pt>
                <c:pt idx="52" formatCode="General">
                  <c:v>2755</c:v>
                </c:pt>
                <c:pt idx="53" formatCode="General">
                  <c:v>2855</c:v>
                </c:pt>
                <c:pt idx="54">
                  <c:v>3600</c:v>
                </c:pt>
              </c:numCache>
            </c:numRef>
          </c:xVal>
          <c:yVal>
            <c:numRef>
              <c:f>'Geometry Rheology 3'!$BE$11:$BE$65</c:f>
              <c:numCache>
                <c:formatCode>0.00</c:formatCode>
                <c:ptCount val="55"/>
                <c:pt idx="0">
                  <c:v>343.54586691227399</c:v>
                </c:pt>
                <c:pt idx="1">
                  <c:v>340.54586691227399</c:v>
                </c:pt>
                <c:pt idx="2">
                  <c:v>337.54586691227399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C94-46DE-AABF-C14C00E94A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600378"/>
        <c:axId val="38793301"/>
      </c:scatterChart>
      <c:valAx>
        <c:axId val="63600378"/>
        <c:scaling>
          <c:orientation val="minMax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80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Time (min)</a:t>
                </a:r>
              </a:p>
            </c:rich>
          </c:tx>
          <c:layout>
            <c:manualLayout>
              <c:xMode val="edge"/>
              <c:yMode val="edge"/>
              <c:x val="0.49498680738786299"/>
              <c:y val="0.92157370260126803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00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38793301"/>
        <c:crosses val="autoZero"/>
        <c:crossBetween val="midCat"/>
      </c:valAx>
      <c:valAx>
        <c:axId val="38793301"/>
        <c:scaling>
          <c:orientation val="minMax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80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Filtration pressure (psi)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00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63600378"/>
        <c:crosses val="autoZero"/>
        <c:crossBetween val="midCat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legendPos val="r"/>
      <c:layout>
        <c:manualLayout>
          <c:xMode val="edge"/>
          <c:yMode val="edge"/>
          <c:x val="0.42578213343384802"/>
          <c:y val="0.30399896466934101"/>
          <c:w val="0.513268998793727"/>
          <c:h val="0.39710069893864902"/>
        </c:manualLayout>
      </c:layout>
      <c:overlay val="0"/>
      <c:spPr>
        <a:solidFill>
          <a:srgbClr val="FFFFFF"/>
        </a:solidFill>
        <a:ln w="0">
          <a:solidFill>
            <a:srgbClr val="000000"/>
          </a:solidFill>
        </a:ln>
      </c:spPr>
      <c:txPr>
        <a:bodyPr/>
        <a:lstStyle/>
        <a:p>
          <a:pPr>
            <a:defRPr sz="800" b="1" u="none" strike="noStrike">
              <a:solidFill>
                <a:srgbClr val="000000"/>
              </a:solidFill>
              <a:uFillTx/>
              <a:latin typeface="Times New Roman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37816646562123"/>
          <c:y val="4.3765903307888002E-2"/>
          <c:w val="0.65772014475271401"/>
          <c:h val="0.75394402035623398"/>
        </c:manualLayout>
      </c:layout>
      <c:scatterChart>
        <c:scatterStyle val="lineMarker"/>
        <c:varyColors val="0"/>
        <c:ser>
          <c:idx val="0"/>
          <c:order val="0"/>
          <c:spPr>
            <a:ln w="0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'Geometry Rheology 3'!$BC$11:$BC$65</c:f>
              <c:numCache>
                <c:formatCode>0.00</c:formatCode>
                <c:ptCount val="55"/>
                <c:pt idx="0" formatCode="General">
                  <c:v>0</c:v>
                </c:pt>
                <c:pt idx="1">
                  <c:v>1</c:v>
                </c:pt>
                <c:pt idx="2" formatCode="General">
                  <c:v>2</c:v>
                </c:pt>
                <c:pt idx="3" formatCode="General">
                  <c:v>5</c:v>
                </c:pt>
                <c:pt idx="4" formatCode="General">
                  <c:v>10</c:v>
                </c:pt>
                <c:pt idx="5" formatCode="General">
                  <c:v>20</c:v>
                </c:pt>
                <c:pt idx="6" formatCode="General">
                  <c:v>30</c:v>
                </c:pt>
                <c:pt idx="7" formatCode="General">
                  <c:v>35</c:v>
                </c:pt>
                <c:pt idx="8" formatCode="General">
                  <c:v>45</c:v>
                </c:pt>
                <c:pt idx="9" formatCode="General">
                  <c:v>55</c:v>
                </c:pt>
                <c:pt idx="10" formatCode="General">
                  <c:v>65</c:v>
                </c:pt>
                <c:pt idx="11" formatCode="General">
                  <c:v>75</c:v>
                </c:pt>
                <c:pt idx="12" formatCode="General">
                  <c:v>85</c:v>
                </c:pt>
                <c:pt idx="13" formatCode="General">
                  <c:v>95</c:v>
                </c:pt>
                <c:pt idx="14" formatCode="General">
                  <c:v>105</c:v>
                </c:pt>
                <c:pt idx="15" formatCode="General">
                  <c:v>115</c:v>
                </c:pt>
                <c:pt idx="16" formatCode="General">
                  <c:v>125</c:v>
                </c:pt>
                <c:pt idx="17" formatCode="General">
                  <c:v>135</c:v>
                </c:pt>
                <c:pt idx="18" formatCode="General">
                  <c:v>145</c:v>
                </c:pt>
                <c:pt idx="19" formatCode="General">
                  <c:v>155</c:v>
                </c:pt>
                <c:pt idx="20" formatCode="General">
                  <c:v>165</c:v>
                </c:pt>
                <c:pt idx="21" formatCode="General">
                  <c:v>175</c:v>
                </c:pt>
                <c:pt idx="22" formatCode="General">
                  <c:v>185</c:v>
                </c:pt>
                <c:pt idx="23" formatCode="General">
                  <c:v>195</c:v>
                </c:pt>
                <c:pt idx="24" formatCode="General">
                  <c:v>205</c:v>
                </c:pt>
                <c:pt idx="25" formatCode="General">
                  <c:v>215</c:v>
                </c:pt>
                <c:pt idx="26" formatCode="General">
                  <c:v>225</c:v>
                </c:pt>
                <c:pt idx="27" formatCode="General">
                  <c:v>255</c:v>
                </c:pt>
                <c:pt idx="28" formatCode="General">
                  <c:v>355</c:v>
                </c:pt>
                <c:pt idx="29" formatCode="General">
                  <c:v>455</c:v>
                </c:pt>
                <c:pt idx="30" formatCode="General">
                  <c:v>555</c:v>
                </c:pt>
                <c:pt idx="31" formatCode="General">
                  <c:v>655</c:v>
                </c:pt>
                <c:pt idx="32" formatCode="General">
                  <c:v>755</c:v>
                </c:pt>
                <c:pt idx="33" formatCode="General">
                  <c:v>855</c:v>
                </c:pt>
                <c:pt idx="34" formatCode="General">
                  <c:v>955</c:v>
                </c:pt>
                <c:pt idx="35" formatCode="General">
                  <c:v>1055</c:v>
                </c:pt>
                <c:pt idx="36" formatCode="General">
                  <c:v>1155</c:v>
                </c:pt>
                <c:pt idx="37" formatCode="General">
                  <c:v>1255</c:v>
                </c:pt>
                <c:pt idx="38" formatCode="General">
                  <c:v>1355</c:v>
                </c:pt>
                <c:pt idx="39" formatCode="General">
                  <c:v>1455</c:v>
                </c:pt>
                <c:pt idx="40" formatCode="General">
                  <c:v>1555</c:v>
                </c:pt>
                <c:pt idx="41" formatCode="General">
                  <c:v>1655</c:v>
                </c:pt>
                <c:pt idx="42" formatCode="General">
                  <c:v>1755</c:v>
                </c:pt>
                <c:pt idx="43" formatCode="General">
                  <c:v>1855</c:v>
                </c:pt>
                <c:pt idx="44" formatCode="General">
                  <c:v>1955</c:v>
                </c:pt>
                <c:pt idx="45" formatCode="General">
                  <c:v>2055</c:v>
                </c:pt>
                <c:pt idx="46" formatCode="General">
                  <c:v>2155</c:v>
                </c:pt>
                <c:pt idx="47" formatCode="General">
                  <c:v>2255</c:v>
                </c:pt>
                <c:pt idx="48" formatCode="General">
                  <c:v>2355</c:v>
                </c:pt>
                <c:pt idx="49" formatCode="General">
                  <c:v>2455</c:v>
                </c:pt>
                <c:pt idx="50" formatCode="General">
                  <c:v>2555</c:v>
                </c:pt>
                <c:pt idx="51" formatCode="General">
                  <c:v>2655</c:v>
                </c:pt>
                <c:pt idx="52" formatCode="General">
                  <c:v>2755</c:v>
                </c:pt>
                <c:pt idx="53" formatCode="General">
                  <c:v>2855</c:v>
                </c:pt>
                <c:pt idx="54">
                  <c:v>3600</c:v>
                </c:pt>
              </c:numCache>
            </c:numRef>
          </c:xVal>
          <c:yVal>
            <c:numRef>
              <c:f>'Geometry Rheology 3'!$BL$11:$BL$65</c:f>
              <c:numCache>
                <c:formatCode>General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76-4056-A771-694BF5DD4178}"/>
            </c:ext>
          </c:extLst>
        </c:ser>
        <c:ser>
          <c:idx val="1"/>
          <c:order val="1"/>
          <c:spPr>
            <a:ln w="0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</c:spPr>
          </c:marker>
          <c:dPt>
            <c:idx val="53"/>
            <c:bubble3D val="0"/>
            <c:extLst>
              <c:ext xmlns:c16="http://schemas.microsoft.com/office/drawing/2014/chart" uri="{C3380CC4-5D6E-409C-BE32-E72D297353CC}">
                <c16:uniqueId val="{00000001-0176-4056-A771-694BF5DD4178}"/>
              </c:ext>
            </c:extLst>
          </c:dPt>
          <c:dLbls>
            <c:dLbl>
              <c:idx val="53"/>
              <c:spPr/>
              <c:txPr>
                <a:bodyPr wrap="none"/>
                <a:lstStyle/>
                <a:p>
                  <a:pPr>
                    <a:defRPr sz="1000" b="0" u="none" strike="noStrike">
                      <a:uFillTx/>
                      <a:latin typeface="Arial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1"/>
              <c:extLst>
                <c:ext xmlns:c16="http://schemas.microsoft.com/office/drawing/2014/chart" uri="{C3380CC4-5D6E-409C-BE32-E72D297353CC}">
                  <c16:uniqueId val="{00000001-0176-4056-A771-694BF5DD41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'Geometry Rheology 3'!$BC$11:$BC$65</c:f>
              <c:numCache>
                <c:formatCode>0.00</c:formatCode>
                <c:ptCount val="55"/>
                <c:pt idx="0" formatCode="General">
                  <c:v>0</c:v>
                </c:pt>
                <c:pt idx="1">
                  <c:v>1</c:v>
                </c:pt>
                <c:pt idx="2" formatCode="General">
                  <c:v>2</c:v>
                </c:pt>
                <c:pt idx="3" formatCode="General">
                  <c:v>5</c:v>
                </c:pt>
                <c:pt idx="4" formatCode="General">
                  <c:v>10</c:v>
                </c:pt>
                <c:pt idx="5" formatCode="General">
                  <c:v>20</c:v>
                </c:pt>
                <c:pt idx="6" formatCode="General">
                  <c:v>30</c:v>
                </c:pt>
                <c:pt idx="7" formatCode="General">
                  <c:v>35</c:v>
                </c:pt>
                <c:pt idx="8" formatCode="General">
                  <c:v>45</c:v>
                </c:pt>
                <c:pt idx="9" formatCode="General">
                  <c:v>55</c:v>
                </c:pt>
                <c:pt idx="10" formatCode="General">
                  <c:v>65</c:v>
                </c:pt>
                <c:pt idx="11" formatCode="General">
                  <c:v>75</c:v>
                </c:pt>
                <c:pt idx="12" formatCode="General">
                  <c:v>85</c:v>
                </c:pt>
                <c:pt idx="13" formatCode="General">
                  <c:v>95</c:v>
                </c:pt>
                <c:pt idx="14" formatCode="General">
                  <c:v>105</c:v>
                </c:pt>
                <c:pt idx="15" formatCode="General">
                  <c:v>115</c:v>
                </c:pt>
                <c:pt idx="16" formatCode="General">
                  <c:v>125</c:v>
                </c:pt>
                <c:pt idx="17" formatCode="General">
                  <c:v>135</c:v>
                </c:pt>
                <c:pt idx="18" formatCode="General">
                  <c:v>145</c:v>
                </c:pt>
                <c:pt idx="19" formatCode="General">
                  <c:v>155</c:v>
                </c:pt>
                <c:pt idx="20" formatCode="General">
                  <c:v>165</c:v>
                </c:pt>
                <c:pt idx="21" formatCode="General">
                  <c:v>175</c:v>
                </c:pt>
                <c:pt idx="22" formatCode="General">
                  <c:v>185</c:v>
                </c:pt>
                <c:pt idx="23" formatCode="General">
                  <c:v>195</c:v>
                </c:pt>
                <c:pt idx="24" formatCode="General">
                  <c:v>205</c:v>
                </c:pt>
                <c:pt idx="25" formatCode="General">
                  <c:v>215</c:v>
                </c:pt>
                <c:pt idx="26" formatCode="General">
                  <c:v>225</c:v>
                </c:pt>
                <c:pt idx="27" formatCode="General">
                  <c:v>255</c:v>
                </c:pt>
                <c:pt idx="28" formatCode="General">
                  <c:v>355</c:v>
                </c:pt>
                <c:pt idx="29" formatCode="General">
                  <c:v>455</c:v>
                </c:pt>
                <c:pt idx="30" formatCode="General">
                  <c:v>555</c:v>
                </c:pt>
                <c:pt idx="31" formatCode="General">
                  <c:v>655</c:v>
                </c:pt>
                <c:pt idx="32" formatCode="General">
                  <c:v>755</c:v>
                </c:pt>
                <c:pt idx="33" formatCode="General">
                  <c:v>855</c:v>
                </c:pt>
                <c:pt idx="34" formatCode="General">
                  <c:v>955</c:v>
                </c:pt>
                <c:pt idx="35" formatCode="General">
                  <c:v>1055</c:v>
                </c:pt>
                <c:pt idx="36" formatCode="General">
                  <c:v>1155</c:v>
                </c:pt>
                <c:pt idx="37" formatCode="General">
                  <c:v>1255</c:v>
                </c:pt>
                <c:pt idx="38" formatCode="General">
                  <c:v>1355</c:v>
                </c:pt>
                <c:pt idx="39" formatCode="General">
                  <c:v>1455</c:v>
                </c:pt>
                <c:pt idx="40" formatCode="General">
                  <c:v>1555</c:v>
                </c:pt>
                <c:pt idx="41" formatCode="General">
                  <c:v>1655</c:v>
                </c:pt>
                <c:pt idx="42" formatCode="General">
                  <c:v>1755</c:v>
                </c:pt>
                <c:pt idx="43" formatCode="General">
                  <c:v>1855</c:v>
                </c:pt>
                <c:pt idx="44" formatCode="General">
                  <c:v>1955</c:v>
                </c:pt>
                <c:pt idx="45" formatCode="General">
                  <c:v>2055</c:v>
                </c:pt>
                <c:pt idx="46" formatCode="General">
                  <c:v>2155</c:v>
                </c:pt>
                <c:pt idx="47" formatCode="General">
                  <c:v>2255</c:v>
                </c:pt>
                <c:pt idx="48" formatCode="General">
                  <c:v>2355</c:v>
                </c:pt>
                <c:pt idx="49" formatCode="General">
                  <c:v>2455</c:v>
                </c:pt>
                <c:pt idx="50" formatCode="General">
                  <c:v>2555</c:v>
                </c:pt>
                <c:pt idx="51" formatCode="General">
                  <c:v>2655</c:v>
                </c:pt>
                <c:pt idx="52" formatCode="General">
                  <c:v>2755</c:v>
                </c:pt>
                <c:pt idx="53" formatCode="General">
                  <c:v>2855</c:v>
                </c:pt>
                <c:pt idx="54">
                  <c:v>3600</c:v>
                </c:pt>
              </c:numCache>
            </c:numRef>
          </c:xVal>
          <c:yVal>
            <c:numRef>
              <c:f>'Geometry Rheology 3'!$BO$11:$BO$65</c:f>
              <c:numCache>
                <c:formatCode>General</c:formatCode>
                <c:ptCount val="5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176-4056-A771-694BF5DD41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312038"/>
        <c:axId val="78611508"/>
      </c:scatterChart>
      <c:valAx>
        <c:axId val="67312038"/>
        <c:scaling>
          <c:orientation val="minMax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110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Drilling Time (hours)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100" b="0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78611508"/>
        <c:crosses val="autoZero"/>
        <c:crossBetween val="midCat"/>
      </c:valAx>
      <c:valAx>
        <c:axId val="78611508"/>
        <c:scaling>
          <c:orientation val="minMax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110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Skin factor</a:t>
                </a:r>
              </a:p>
            </c:rich>
          </c:tx>
          <c:layout>
            <c:manualLayout>
              <c:xMode val="edge"/>
              <c:yMode val="edge"/>
              <c:x val="1.0102533172497E-2"/>
              <c:y val="3.4096692111959301E-2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100" b="0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67312038"/>
        <c:crosses val="autoZero"/>
        <c:crossBetween val="midCat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legendPos val="r"/>
      <c:layout>
        <c:manualLayout>
          <c:xMode val="edge"/>
          <c:yMode val="edge"/>
          <c:x val="0.85924306393244898"/>
          <c:y val="0.35699745547073802"/>
        </c:manualLayout>
      </c:layout>
      <c:overlay val="0"/>
      <c:spPr>
        <a:solidFill>
          <a:srgbClr val="FFFFFF"/>
        </a:solidFill>
        <a:ln w="0">
          <a:solidFill>
            <a:srgbClr val="000000"/>
          </a:solidFill>
        </a:ln>
      </c:spPr>
      <c:txPr>
        <a:bodyPr/>
        <a:lstStyle/>
        <a:p>
          <a:pPr>
            <a:defRPr sz="1100" b="0" u="none" strike="noStrike">
              <a:solidFill>
                <a:srgbClr val="000000"/>
              </a:solidFill>
              <a:uFillTx/>
              <a:latin typeface="Times New Roman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4083569169302501"/>
          <c:y val="6.6538882803943003E-2"/>
          <c:w val="0.83477609455635104"/>
          <c:h val="0.79600219058050403"/>
        </c:manualLayout>
      </c:layout>
      <c:scatterChart>
        <c:scatterStyle val="lineMarker"/>
        <c:varyColors val="0"/>
        <c:ser>
          <c:idx val="0"/>
          <c:order val="0"/>
          <c:spPr>
            <a:ln w="0">
              <a:solidFill>
                <a:srgbClr val="FF0000"/>
              </a:solidFill>
            </a:ln>
          </c:spPr>
          <c:marker>
            <c:symbol val="x"/>
            <c:size val="3"/>
            <c:spPr>
              <a:solidFill>
                <a:srgbClr val="FF0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'Geometry Rheology 3'!$BC$11:$BC$65</c:f>
              <c:numCache>
                <c:formatCode>0.00</c:formatCode>
                <c:ptCount val="55"/>
                <c:pt idx="0" formatCode="General">
                  <c:v>0</c:v>
                </c:pt>
                <c:pt idx="1">
                  <c:v>1</c:v>
                </c:pt>
                <c:pt idx="2" formatCode="General">
                  <c:v>2</c:v>
                </c:pt>
                <c:pt idx="3" formatCode="General">
                  <c:v>5</c:v>
                </c:pt>
                <c:pt idx="4" formatCode="General">
                  <c:v>10</c:v>
                </c:pt>
                <c:pt idx="5" formatCode="General">
                  <c:v>20</c:v>
                </c:pt>
                <c:pt idx="6" formatCode="General">
                  <c:v>30</c:v>
                </c:pt>
                <c:pt idx="7" formatCode="General">
                  <c:v>35</c:v>
                </c:pt>
                <c:pt idx="8" formatCode="General">
                  <c:v>45</c:v>
                </c:pt>
                <c:pt idx="9" formatCode="General">
                  <c:v>55</c:v>
                </c:pt>
                <c:pt idx="10" formatCode="General">
                  <c:v>65</c:v>
                </c:pt>
                <c:pt idx="11" formatCode="General">
                  <c:v>75</c:v>
                </c:pt>
                <c:pt idx="12" formatCode="General">
                  <c:v>85</c:v>
                </c:pt>
                <c:pt idx="13" formatCode="General">
                  <c:v>95</c:v>
                </c:pt>
                <c:pt idx="14" formatCode="General">
                  <c:v>105</c:v>
                </c:pt>
                <c:pt idx="15" formatCode="General">
                  <c:v>115</c:v>
                </c:pt>
                <c:pt idx="16" formatCode="General">
                  <c:v>125</c:v>
                </c:pt>
                <c:pt idx="17" formatCode="General">
                  <c:v>135</c:v>
                </c:pt>
                <c:pt idx="18" formatCode="General">
                  <c:v>145</c:v>
                </c:pt>
                <c:pt idx="19" formatCode="General">
                  <c:v>155</c:v>
                </c:pt>
                <c:pt idx="20" formatCode="General">
                  <c:v>165</c:v>
                </c:pt>
                <c:pt idx="21" formatCode="General">
                  <c:v>175</c:v>
                </c:pt>
                <c:pt idx="22" formatCode="General">
                  <c:v>185</c:v>
                </c:pt>
                <c:pt idx="23" formatCode="General">
                  <c:v>195</c:v>
                </c:pt>
                <c:pt idx="24" formatCode="General">
                  <c:v>205</c:v>
                </c:pt>
                <c:pt idx="25" formatCode="General">
                  <c:v>215</c:v>
                </c:pt>
                <c:pt idx="26" formatCode="General">
                  <c:v>225</c:v>
                </c:pt>
                <c:pt idx="27" formatCode="General">
                  <c:v>255</c:v>
                </c:pt>
                <c:pt idx="28" formatCode="General">
                  <c:v>355</c:v>
                </c:pt>
                <c:pt idx="29" formatCode="General">
                  <c:v>455</c:v>
                </c:pt>
                <c:pt idx="30" formatCode="General">
                  <c:v>555</c:v>
                </c:pt>
                <c:pt idx="31" formatCode="General">
                  <c:v>655</c:v>
                </c:pt>
                <c:pt idx="32" formatCode="General">
                  <c:v>755</c:v>
                </c:pt>
                <c:pt idx="33" formatCode="General">
                  <c:v>855</c:v>
                </c:pt>
                <c:pt idx="34" formatCode="General">
                  <c:v>955</c:v>
                </c:pt>
                <c:pt idx="35" formatCode="General">
                  <c:v>1055</c:v>
                </c:pt>
                <c:pt idx="36" formatCode="General">
                  <c:v>1155</c:v>
                </c:pt>
                <c:pt idx="37" formatCode="General">
                  <c:v>1255</c:v>
                </c:pt>
                <c:pt idx="38" formatCode="General">
                  <c:v>1355</c:v>
                </c:pt>
                <c:pt idx="39" formatCode="General">
                  <c:v>1455</c:v>
                </c:pt>
                <c:pt idx="40" formatCode="General">
                  <c:v>1555</c:v>
                </c:pt>
                <c:pt idx="41" formatCode="General">
                  <c:v>1655</c:v>
                </c:pt>
                <c:pt idx="42" formatCode="General">
                  <c:v>1755</c:v>
                </c:pt>
                <c:pt idx="43" formatCode="General">
                  <c:v>1855</c:v>
                </c:pt>
                <c:pt idx="44" formatCode="General">
                  <c:v>1955</c:v>
                </c:pt>
                <c:pt idx="45" formatCode="General">
                  <c:v>2055</c:v>
                </c:pt>
                <c:pt idx="46" formatCode="General">
                  <c:v>2155</c:v>
                </c:pt>
                <c:pt idx="47" formatCode="General">
                  <c:v>2255</c:v>
                </c:pt>
                <c:pt idx="48" formatCode="General">
                  <c:v>2355</c:v>
                </c:pt>
                <c:pt idx="49" formatCode="General">
                  <c:v>2455</c:v>
                </c:pt>
                <c:pt idx="50" formatCode="General">
                  <c:v>2555</c:v>
                </c:pt>
                <c:pt idx="51" formatCode="General">
                  <c:v>2655</c:v>
                </c:pt>
                <c:pt idx="52" formatCode="General">
                  <c:v>2755</c:v>
                </c:pt>
                <c:pt idx="53" formatCode="General">
                  <c:v>2855</c:v>
                </c:pt>
                <c:pt idx="54">
                  <c:v>3600</c:v>
                </c:pt>
              </c:numCache>
            </c:numRef>
          </c:xVal>
          <c:yVal>
            <c:numRef>
              <c:f>'Geometry Rheology 3'!$CI$11:$CI$65</c:f>
              <c:numCache>
                <c:formatCode>General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C8-4A1E-B60A-405CCE61DA91}"/>
            </c:ext>
          </c:extLst>
        </c:ser>
        <c:ser>
          <c:idx val="1"/>
          <c:order val="1"/>
          <c:spPr>
            <a:ln w="0">
              <a:solidFill>
                <a:srgbClr val="000080"/>
              </a:solidFill>
            </a:ln>
          </c:spPr>
          <c:marker>
            <c:symbol val="circle"/>
            <c:size val="3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'Geometry Rheology 3'!$BC$11:$BC$65</c:f>
              <c:numCache>
                <c:formatCode>0.00</c:formatCode>
                <c:ptCount val="55"/>
                <c:pt idx="0" formatCode="General">
                  <c:v>0</c:v>
                </c:pt>
                <c:pt idx="1">
                  <c:v>1</c:v>
                </c:pt>
                <c:pt idx="2" formatCode="General">
                  <c:v>2</c:v>
                </c:pt>
                <c:pt idx="3" formatCode="General">
                  <c:v>5</c:v>
                </c:pt>
                <c:pt idx="4" formatCode="General">
                  <c:v>10</c:v>
                </c:pt>
                <c:pt idx="5" formatCode="General">
                  <c:v>20</c:v>
                </c:pt>
                <c:pt idx="6" formatCode="General">
                  <c:v>30</c:v>
                </c:pt>
                <c:pt idx="7" formatCode="General">
                  <c:v>35</c:v>
                </c:pt>
                <c:pt idx="8" formatCode="General">
                  <c:v>45</c:v>
                </c:pt>
                <c:pt idx="9" formatCode="General">
                  <c:v>55</c:v>
                </c:pt>
                <c:pt idx="10" formatCode="General">
                  <c:v>65</c:v>
                </c:pt>
                <c:pt idx="11" formatCode="General">
                  <c:v>75</c:v>
                </c:pt>
                <c:pt idx="12" formatCode="General">
                  <c:v>85</c:v>
                </c:pt>
                <c:pt idx="13" formatCode="General">
                  <c:v>95</c:v>
                </c:pt>
                <c:pt idx="14" formatCode="General">
                  <c:v>105</c:v>
                </c:pt>
                <c:pt idx="15" formatCode="General">
                  <c:v>115</c:v>
                </c:pt>
                <c:pt idx="16" formatCode="General">
                  <c:v>125</c:v>
                </c:pt>
                <c:pt idx="17" formatCode="General">
                  <c:v>135</c:v>
                </c:pt>
                <c:pt idx="18" formatCode="General">
                  <c:v>145</c:v>
                </c:pt>
                <c:pt idx="19" formatCode="General">
                  <c:v>155</c:v>
                </c:pt>
                <c:pt idx="20" formatCode="General">
                  <c:v>165</c:v>
                </c:pt>
                <c:pt idx="21" formatCode="General">
                  <c:v>175</c:v>
                </c:pt>
                <c:pt idx="22" formatCode="General">
                  <c:v>185</c:v>
                </c:pt>
                <c:pt idx="23" formatCode="General">
                  <c:v>195</c:v>
                </c:pt>
                <c:pt idx="24" formatCode="General">
                  <c:v>205</c:v>
                </c:pt>
                <c:pt idx="25" formatCode="General">
                  <c:v>215</c:v>
                </c:pt>
                <c:pt idx="26" formatCode="General">
                  <c:v>225</c:v>
                </c:pt>
                <c:pt idx="27" formatCode="General">
                  <c:v>255</c:v>
                </c:pt>
                <c:pt idx="28" formatCode="General">
                  <c:v>355</c:v>
                </c:pt>
                <c:pt idx="29" formatCode="General">
                  <c:v>455</c:v>
                </c:pt>
                <c:pt idx="30" formatCode="General">
                  <c:v>555</c:v>
                </c:pt>
                <c:pt idx="31" formatCode="General">
                  <c:v>655</c:v>
                </c:pt>
                <c:pt idx="32" formatCode="General">
                  <c:v>755</c:v>
                </c:pt>
                <c:pt idx="33" formatCode="General">
                  <c:v>855</c:v>
                </c:pt>
                <c:pt idx="34" formatCode="General">
                  <c:v>955</c:v>
                </c:pt>
                <c:pt idx="35" formatCode="General">
                  <c:v>1055</c:v>
                </c:pt>
                <c:pt idx="36" formatCode="General">
                  <c:v>1155</c:v>
                </c:pt>
                <c:pt idx="37" formatCode="General">
                  <c:v>1255</c:v>
                </c:pt>
                <c:pt idx="38" formatCode="General">
                  <c:v>1355</c:v>
                </c:pt>
                <c:pt idx="39" formatCode="General">
                  <c:v>1455</c:v>
                </c:pt>
                <c:pt idx="40" formatCode="General">
                  <c:v>1555</c:v>
                </c:pt>
                <c:pt idx="41" formatCode="General">
                  <c:v>1655</c:v>
                </c:pt>
                <c:pt idx="42" formatCode="General">
                  <c:v>1755</c:v>
                </c:pt>
                <c:pt idx="43" formatCode="General">
                  <c:v>1855</c:v>
                </c:pt>
                <c:pt idx="44" formatCode="General">
                  <c:v>1955</c:v>
                </c:pt>
                <c:pt idx="45" formatCode="General">
                  <c:v>2055</c:v>
                </c:pt>
                <c:pt idx="46" formatCode="General">
                  <c:v>2155</c:v>
                </c:pt>
                <c:pt idx="47" formatCode="General">
                  <c:v>2255</c:v>
                </c:pt>
                <c:pt idx="48" formatCode="General">
                  <c:v>2355</c:v>
                </c:pt>
                <c:pt idx="49" formatCode="General">
                  <c:v>2455</c:v>
                </c:pt>
                <c:pt idx="50" formatCode="General">
                  <c:v>2555</c:v>
                </c:pt>
                <c:pt idx="51" formatCode="General">
                  <c:v>2655</c:v>
                </c:pt>
                <c:pt idx="52" formatCode="General">
                  <c:v>2755</c:v>
                </c:pt>
                <c:pt idx="53" formatCode="General">
                  <c:v>2855</c:v>
                </c:pt>
                <c:pt idx="54">
                  <c:v>3600</c:v>
                </c:pt>
              </c:numCache>
            </c:numRef>
          </c:xVal>
          <c:yVal>
            <c:numRef>
              <c:f>'Geometry Rheology 3'!$CH$11:$CH$65</c:f>
              <c:numCache>
                <c:formatCode>General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C8-4A1E-B60A-405CCE61DA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176396"/>
        <c:axId val="74998624"/>
      </c:scatterChart>
      <c:valAx>
        <c:axId val="35176396"/>
        <c:scaling>
          <c:orientation val="minMax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825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Time (min)</a:t>
                </a:r>
              </a:p>
            </c:rich>
          </c:tx>
          <c:layout>
            <c:manualLayout>
              <c:xMode val="edge"/>
              <c:yMode val="edge"/>
              <c:x val="0.47869152655235597"/>
              <c:y val="0.91689485213581601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25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74998624"/>
        <c:crosses val="autoZero"/>
        <c:crossBetween val="midCat"/>
      </c:valAx>
      <c:valAx>
        <c:axId val="74998624"/>
        <c:scaling>
          <c:orientation val="minMax"/>
          <c:max val="300"/>
          <c:min val="0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825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Initial permeability (md)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25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35176396"/>
        <c:crosses val="autoZero"/>
        <c:crossBetween val="midCat"/>
        <c:majorUnit val="40"/>
        <c:minorUnit val="20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legendPos val="r"/>
      <c:layout>
        <c:manualLayout>
          <c:xMode val="edge"/>
          <c:yMode val="edge"/>
          <c:x val="0.47827534543033101"/>
          <c:y val="6.5991237677984704E-2"/>
        </c:manualLayout>
      </c:layout>
      <c:overlay val="0"/>
      <c:spPr>
        <a:solidFill>
          <a:srgbClr val="FFFFFF"/>
        </a:solidFill>
        <a:ln w="0">
          <a:solidFill>
            <a:srgbClr val="000000"/>
          </a:solidFill>
        </a:ln>
      </c:spPr>
      <c:txPr>
        <a:bodyPr/>
        <a:lstStyle/>
        <a:p>
          <a:pPr>
            <a:defRPr sz="825" b="1" u="none" strike="noStrike">
              <a:solidFill>
                <a:srgbClr val="000000"/>
              </a:solidFill>
              <a:uFillTx/>
              <a:latin typeface="Times New Roman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CC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4327560954596399"/>
          <c:y val="8.8540079244132902E-2"/>
          <c:w val="0.80296372878435396"/>
          <c:h val="0.73666565071624501"/>
        </c:manualLayout>
      </c:layout>
      <c:scatterChart>
        <c:scatterStyle val="lineMarker"/>
        <c:varyColors val="0"/>
        <c:ser>
          <c:idx val="0"/>
          <c:order val="0"/>
          <c:spPr>
            <a:ln w="0">
              <a:solidFill>
                <a:srgbClr val="000080"/>
              </a:solidFill>
            </a:ln>
          </c:spPr>
          <c:marker>
            <c:symbol val="diamond"/>
            <c:size val="3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'Geometry Rheology 3'!$BC$11:$BC$65</c:f>
              <c:numCache>
                <c:formatCode>0.00</c:formatCode>
                <c:ptCount val="55"/>
                <c:pt idx="0" formatCode="General">
                  <c:v>0</c:v>
                </c:pt>
                <c:pt idx="1">
                  <c:v>1</c:v>
                </c:pt>
                <c:pt idx="2" formatCode="General">
                  <c:v>2</c:v>
                </c:pt>
                <c:pt idx="3" formatCode="General">
                  <c:v>5</c:v>
                </c:pt>
                <c:pt idx="4" formatCode="General">
                  <c:v>10</c:v>
                </c:pt>
                <c:pt idx="5" formatCode="General">
                  <c:v>20</c:v>
                </c:pt>
                <c:pt idx="6" formatCode="General">
                  <c:v>30</c:v>
                </c:pt>
                <c:pt idx="7" formatCode="General">
                  <c:v>35</c:v>
                </c:pt>
                <c:pt idx="8" formatCode="General">
                  <c:v>45</c:v>
                </c:pt>
                <c:pt idx="9" formatCode="General">
                  <c:v>55</c:v>
                </c:pt>
                <c:pt idx="10" formatCode="General">
                  <c:v>65</c:v>
                </c:pt>
                <c:pt idx="11" formatCode="General">
                  <c:v>75</c:v>
                </c:pt>
                <c:pt idx="12" formatCode="General">
                  <c:v>85</c:v>
                </c:pt>
                <c:pt idx="13" formatCode="General">
                  <c:v>95</c:v>
                </c:pt>
                <c:pt idx="14" formatCode="General">
                  <c:v>105</c:v>
                </c:pt>
                <c:pt idx="15" formatCode="General">
                  <c:v>115</c:v>
                </c:pt>
                <c:pt idx="16" formatCode="General">
                  <c:v>125</c:v>
                </c:pt>
                <c:pt idx="17" formatCode="General">
                  <c:v>135</c:v>
                </c:pt>
                <c:pt idx="18" formatCode="General">
                  <c:v>145</c:v>
                </c:pt>
                <c:pt idx="19" formatCode="General">
                  <c:v>155</c:v>
                </c:pt>
                <c:pt idx="20" formatCode="General">
                  <c:v>165</c:v>
                </c:pt>
                <c:pt idx="21" formatCode="General">
                  <c:v>175</c:v>
                </c:pt>
                <c:pt idx="22" formatCode="General">
                  <c:v>185</c:v>
                </c:pt>
                <c:pt idx="23" formatCode="General">
                  <c:v>195</c:v>
                </c:pt>
                <c:pt idx="24" formatCode="General">
                  <c:v>205</c:v>
                </c:pt>
                <c:pt idx="25" formatCode="General">
                  <c:v>215</c:v>
                </c:pt>
                <c:pt idx="26" formatCode="General">
                  <c:v>225</c:v>
                </c:pt>
                <c:pt idx="27" formatCode="General">
                  <c:v>255</c:v>
                </c:pt>
                <c:pt idx="28" formatCode="General">
                  <c:v>355</c:v>
                </c:pt>
                <c:pt idx="29" formatCode="General">
                  <c:v>455</c:v>
                </c:pt>
                <c:pt idx="30" formatCode="General">
                  <c:v>555</c:v>
                </c:pt>
                <c:pt idx="31" formatCode="General">
                  <c:v>655</c:v>
                </c:pt>
                <c:pt idx="32" formatCode="General">
                  <c:v>755</c:v>
                </c:pt>
                <c:pt idx="33" formatCode="General">
                  <c:v>855</c:v>
                </c:pt>
                <c:pt idx="34" formatCode="General">
                  <c:v>955</c:v>
                </c:pt>
                <c:pt idx="35" formatCode="General">
                  <c:v>1055</c:v>
                </c:pt>
                <c:pt idx="36" formatCode="General">
                  <c:v>1155</c:v>
                </c:pt>
                <c:pt idx="37" formatCode="General">
                  <c:v>1255</c:v>
                </c:pt>
                <c:pt idx="38" formatCode="General">
                  <c:v>1355</c:v>
                </c:pt>
                <c:pt idx="39" formatCode="General">
                  <c:v>1455</c:v>
                </c:pt>
                <c:pt idx="40" formatCode="General">
                  <c:v>1555</c:v>
                </c:pt>
                <c:pt idx="41" formatCode="General">
                  <c:v>1655</c:v>
                </c:pt>
                <c:pt idx="42" formatCode="General">
                  <c:v>1755</c:v>
                </c:pt>
                <c:pt idx="43" formatCode="General">
                  <c:v>1855</c:v>
                </c:pt>
                <c:pt idx="44" formatCode="General">
                  <c:v>1955</c:v>
                </c:pt>
                <c:pt idx="45" formatCode="General">
                  <c:v>2055</c:v>
                </c:pt>
                <c:pt idx="46" formatCode="General">
                  <c:v>2155</c:v>
                </c:pt>
                <c:pt idx="47" formatCode="General">
                  <c:v>2255</c:v>
                </c:pt>
                <c:pt idx="48" formatCode="General">
                  <c:v>2355</c:v>
                </c:pt>
                <c:pt idx="49" formatCode="General">
                  <c:v>2455</c:v>
                </c:pt>
                <c:pt idx="50" formatCode="General">
                  <c:v>2555</c:v>
                </c:pt>
                <c:pt idx="51" formatCode="General">
                  <c:v>2655</c:v>
                </c:pt>
                <c:pt idx="52" formatCode="General">
                  <c:v>2755</c:v>
                </c:pt>
                <c:pt idx="53" formatCode="General">
                  <c:v>2855</c:v>
                </c:pt>
                <c:pt idx="54">
                  <c:v>3600</c:v>
                </c:pt>
              </c:numCache>
            </c:numRef>
          </c:xVal>
          <c:yVal>
            <c:numRef>
              <c:f>'Geometry Rheology 3'!$CR$11:$CR$65</c:f>
              <c:numCache>
                <c:formatCode>General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68F-42C1-8633-B2FA7F4C1C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746518"/>
        <c:axId val="27958311"/>
      </c:scatterChart>
      <c:valAx>
        <c:axId val="25746518"/>
        <c:scaling>
          <c:orientation val="minMax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900" b="1" u="none" strike="noStrike">
                    <a:solidFill>
                      <a:srgbClr val="000000"/>
                    </a:solidFill>
                    <a:uFillTx/>
                    <a:latin typeface="Arial"/>
                  </a:rPr>
                  <a:t>Time (min)</a:t>
                </a:r>
              </a:p>
            </c:rich>
          </c:tx>
          <c:layout>
            <c:manualLayout>
              <c:xMode val="edge"/>
              <c:yMode val="edge"/>
              <c:x val="0.44843628844662697"/>
              <c:y val="0.89164888753428795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900" b="1" u="none" strike="noStrike">
                <a:solidFill>
                  <a:srgbClr val="000000"/>
                </a:solidFill>
                <a:uFillTx/>
                <a:latin typeface="Arial"/>
              </a:defRPr>
            </a:pPr>
            <a:endParaRPr lang="en-US"/>
          </a:p>
        </c:txPr>
        <c:crossAx val="27958311"/>
        <c:crosses val="autoZero"/>
        <c:crossBetween val="midCat"/>
        <c:majorUnit val="500"/>
      </c:valAx>
      <c:valAx>
        <c:axId val="27958311"/>
        <c:scaling>
          <c:orientation val="minMax"/>
          <c:min val="0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900" b="1" u="none" strike="noStrike">
                    <a:solidFill>
                      <a:srgbClr val="000000"/>
                    </a:solidFill>
                    <a:uFillTx/>
                    <a:latin typeface="Arial"/>
                  </a:rPr>
                  <a:t>Skin Factor</a:t>
                </a:r>
              </a:p>
            </c:rich>
          </c:tx>
          <c:layout>
            <c:manualLayout>
              <c:xMode val="edge"/>
              <c:yMode val="edge"/>
              <c:x val="1.37847850435082E-2"/>
              <c:y val="5.6080463273392299E-2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900" b="1" u="none" strike="noStrike">
                <a:solidFill>
                  <a:srgbClr val="000000"/>
                </a:solidFill>
                <a:uFillTx/>
                <a:latin typeface="Arial"/>
              </a:defRPr>
            </a:pPr>
            <a:endParaRPr lang="en-US"/>
          </a:p>
        </c:txPr>
        <c:crossAx val="25746518"/>
        <c:crosses val="autoZero"/>
        <c:crossBetween val="midCat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plotVisOnly val="1"/>
    <c:dispBlanksAs val="gap"/>
    <c:showDLblsOverMax val="1"/>
  </c:chart>
  <c:spPr>
    <a:solidFill>
      <a:srgbClr val="FF99CC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8281359495444999"/>
          <c:y val="8.2874572236274396E-2"/>
          <c:w val="0.778994393833217"/>
          <c:h val="0.67876804047016803"/>
        </c:manualLayout>
      </c:layout>
      <c:scatterChart>
        <c:scatterStyle val="lineMarker"/>
        <c:varyColors val="0"/>
        <c:ser>
          <c:idx val="0"/>
          <c:order val="0"/>
          <c:spPr>
            <a:ln w="0">
              <a:solidFill>
                <a:srgbClr val="0000FF"/>
              </a:solidFill>
            </a:ln>
          </c:spPr>
          <c:marker>
            <c:symbol val="square"/>
            <c:size val="3"/>
            <c:spPr>
              <a:solidFill>
                <a:srgbClr val="00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64"/>
                <c:pt idx="0">
                  <c:v>81.247175017487706</c:v>
                </c:pt>
                <c:pt idx="1">
                  <c:v>80.225157289432701</c:v>
                </c:pt>
                <c:pt idx="2">
                  <c:v>79.189950599215294</c:v>
                </c:pt>
                <c:pt idx="3">
                  <c:v>78.141030769360299</c:v>
                </c:pt>
                <c:pt idx="4">
                  <c:v>77.077837952877601</c:v>
                </c:pt>
                <c:pt idx="5">
                  <c:v>75.999773139674502</c:v>
                </c:pt>
                <c:pt idx="6">
                  <c:v>74.906194210318404</c:v>
                </c:pt>
                <c:pt idx="7">
                  <c:v>73.796411463335303</c:v>
                </c:pt>
                <c:pt idx="8">
                  <c:v>72.669682527570103</c:v>
                </c:pt>
                <c:pt idx="9">
                  <c:v>71.525206553003201</c:v>
                </c:pt>
                <c:pt idx="10">
                  <c:v>70.362117550864795</c:v>
                </c:pt>
                <c:pt idx="11">
                  <c:v>69.179476725642104</c:v>
                </c:pt>
                <c:pt idx="12">
                  <c:v>67.976263605949995</c:v>
                </c:pt>
                <c:pt idx="13">
                  <c:v>66.7513657359723</c:v>
                </c:pt>
                <c:pt idx="14">
                  <c:v>65.503566631210902</c:v>
                </c:pt>
                <c:pt idx="15">
                  <c:v>64.231531627397999</c:v>
                </c:pt>
                <c:pt idx="16">
                  <c:v>62.933791153825801</c:v>
                </c:pt>
                <c:pt idx="17">
                  <c:v>61.608720833866599</c:v>
                </c:pt>
                <c:pt idx="18">
                  <c:v>60.254517644548898</c:v>
                </c:pt>
                <c:pt idx="19">
                  <c:v>58.869171137100302</c:v>
                </c:pt>
                <c:pt idx="20">
                  <c:v>57.450428407115801</c:v>
                </c:pt>
                <c:pt idx="21">
                  <c:v>55.995751070532897</c:v>
                </c:pt>
                <c:pt idx="22">
                  <c:v>54.502261895677599</c:v>
                </c:pt>
                <c:pt idx="23">
                  <c:v>52.966677878992698</c:v>
                </c:pt>
                <c:pt idx="24">
                  <c:v>51.385225301918403</c:v>
                </c:pt>
                <c:pt idx="25">
                  <c:v>49.753530458861498</c:v>
                </c:pt>
                <c:pt idx="26">
                  <c:v>48.066476955491503</c:v>
                </c:pt>
                <c:pt idx="27">
                  <c:v>46.318016156834098</c:v>
                </c:pt>
                <c:pt idx="28">
                  <c:v>44.500910490648202</c:v>
                </c:pt>
                <c:pt idx="29">
                  <c:v>42.606378023585002</c:v>
                </c:pt>
                <c:pt idx="30">
                  <c:v>40.848650657618201</c:v>
                </c:pt>
                <c:pt idx="31">
                  <c:v>39.011806838540998</c:v>
                </c:pt>
                <c:pt idx="32">
                  <c:v>37.084092075540198</c:v>
                </c:pt>
                <c:pt idx="33">
                  <c:v>35.050516363195698</c:v>
                </c:pt>
                <c:pt idx="34">
                  <c:v>32.891450402591701</c:v>
                </c:pt>
                <c:pt idx="35">
                  <c:v>30.580325731516599</c:v>
                </c:pt>
                <c:pt idx="36">
                  <c:v>28.0796213312281</c:v>
                </c:pt>
                <c:pt idx="37">
                  <c:v>25.3332577132248</c:v>
                </c:pt>
                <c:pt idx="38">
                  <c:v>22.250455245324101</c:v>
                </c:pt>
                <c:pt idx="39">
                  <c:v>21.834522210403598</c:v>
                </c:pt>
                <c:pt idx="40">
                  <c:v>21.410510542466</c:v>
                </c:pt>
                <c:pt idx="41">
                  <c:v>20.977930384608602</c:v>
                </c:pt>
                <c:pt idx="42">
                  <c:v>20.5362402779555</c:v>
                </c:pt>
                <c:pt idx="43">
                  <c:v>20.084839214849602</c:v>
                </c:pt>
                <c:pt idx="44">
                  <c:v>19.623057045700101</c:v>
                </c:pt>
                <c:pt idx="45">
                  <c:v>19.150142802371899</c:v>
                </c:pt>
                <c:pt idx="46">
                  <c:v>18.6652503568443</c:v>
                </c:pt>
                <c:pt idx="47">
                  <c:v>18.167420631892501</c:v>
                </c:pt>
                <c:pt idx="48">
                  <c:v>17.655559292997602</c:v>
                </c:pt>
                <c:pt idx="49">
                  <c:v>17.128408433972801</c:v>
                </c:pt>
                <c:pt idx="50">
                  <c:v>16.584510152953801</c:v>
                </c:pt>
                <c:pt idx="51">
                  <c:v>16.022158985163799</c:v>
                </c:pt>
                <c:pt idx="52">
                  <c:v>15.4393387189447</c:v>
                </c:pt>
                <c:pt idx="53">
                  <c:v>14.833636830216101</c:v>
                </c:pt>
                <c:pt idx="54">
                  <c:v>14.2021260078617</c:v>
                </c:pt>
                <c:pt idx="55">
                  <c:v>13.541195836248001</c:v>
                </c:pt>
                <c:pt idx="56">
                  <c:v>12.846306325479601</c:v>
                </c:pt>
                <c:pt idx="57">
                  <c:v>12.111613754595</c:v>
                </c:pt>
                <c:pt idx="58">
                  <c:v>11.3293772676583</c:v>
                </c:pt>
                <c:pt idx="59">
                  <c:v>10.488965192304301</c:v>
                </c:pt>
                <c:pt idx="60">
                  <c:v>9.5750714011859692</c:v>
                </c:pt>
                <c:pt idx="61">
                  <c:v>8.5642042169864006</c:v>
                </c:pt>
                <c:pt idx="62">
                  <c:v>7.4168184151080396</c:v>
                </c:pt>
                <c:pt idx="63">
                  <c:v>6.0558068772975098</c:v>
                </c:pt>
              </c:numCache>
            </c:numRef>
          </c:xVal>
          <c:yVal>
            <c:numRef>
              <c:f>1</c:f>
              <c:numCache>
                <c:formatCode>General</c:formatCode>
                <c:ptCount val="64"/>
                <c:pt idx="0">
                  <c:v>3600</c:v>
                </c:pt>
                <c:pt idx="1">
                  <c:v>3510</c:v>
                </c:pt>
                <c:pt idx="2">
                  <c:v>3420</c:v>
                </c:pt>
                <c:pt idx="3">
                  <c:v>3330</c:v>
                </c:pt>
                <c:pt idx="4">
                  <c:v>3240</c:v>
                </c:pt>
                <c:pt idx="5">
                  <c:v>3150</c:v>
                </c:pt>
                <c:pt idx="6">
                  <c:v>3060</c:v>
                </c:pt>
                <c:pt idx="7">
                  <c:v>2970</c:v>
                </c:pt>
                <c:pt idx="8">
                  <c:v>2880</c:v>
                </c:pt>
                <c:pt idx="9">
                  <c:v>2790</c:v>
                </c:pt>
                <c:pt idx="10">
                  <c:v>2700</c:v>
                </c:pt>
                <c:pt idx="11">
                  <c:v>2610</c:v>
                </c:pt>
                <c:pt idx="12">
                  <c:v>2520</c:v>
                </c:pt>
                <c:pt idx="13">
                  <c:v>2430</c:v>
                </c:pt>
                <c:pt idx="14">
                  <c:v>2340</c:v>
                </c:pt>
                <c:pt idx="15">
                  <c:v>2250</c:v>
                </c:pt>
                <c:pt idx="16">
                  <c:v>2160</c:v>
                </c:pt>
                <c:pt idx="17">
                  <c:v>2070</c:v>
                </c:pt>
                <c:pt idx="18">
                  <c:v>1980</c:v>
                </c:pt>
                <c:pt idx="19">
                  <c:v>1890</c:v>
                </c:pt>
                <c:pt idx="20">
                  <c:v>1800</c:v>
                </c:pt>
                <c:pt idx="21">
                  <c:v>1710</c:v>
                </c:pt>
                <c:pt idx="22">
                  <c:v>1620</c:v>
                </c:pt>
                <c:pt idx="23">
                  <c:v>1530</c:v>
                </c:pt>
                <c:pt idx="24">
                  <c:v>1440</c:v>
                </c:pt>
                <c:pt idx="25">
                  <c:v>1350</c:v>
                </c:pt>
                <c:pt idx="26">
                  <c:v>1260</c:v>
                </c:pt>
                <c:pt idx="27">
                  <c:v>1170</c:v>
                </c:pt>
                <c:pt idx="28">
                  <c:v>1080</c:v>
                </c:pt>
                <c:pt idx="29">
                  <c:v>990</c:v>
                </c:pt>
                <c:pt idx="30">
                  <c:v>910</c:v>
                </c:pt>
                <c:pt idx="31">
                  <c:v>830</c:v>
                </c:pt>
                <c:pt idx="32">
                  <c:v>750</c:v>
                </c:pt>
                <c:pt idx="33">
                  <c:v>670</c:v>
                </c:pt>
                <c:pt idx="34">
                  <c:v>590</c:v>
                </c:pt>
                <c:pt idx="35">
                  <c:v>510</c:v>
                </c:pt>
                <c:pt idx="36">
                  <c:v>430</c:v>
                </c:pt>
                <c:pt idx="37">
                  <c:v>350</c:v>
                </c:pt>
                <c:pt idx="38">
                  <c:v>270</c:v>
                </c:pt>
                <c:pt idx="39">
                  <c:v>260</c:v>
                </c:pt>
                <c:pt idx="40">
                  <c:v>250</c:v>
                </c:pt>
                <c:pt idx="41">
                  <c:v>240</c:v>
                </c:pt>
                <c:pt idx="42">
                  <c:v>230</c:v>
                </c:pt>
                <c:pt idx="43">
                  <c:v>220</c:v>
                </c:pt>
                <c:pt idx="44">
                  <c:v>210</c:v>
                </c:pt>
                <c:pt idx="45">
                  <c:v>200</c:v>
                </c:pt>
                <c:pt idx="46">
                  <c:v>190</c:v>
                </c:pt>
                <c:pt idx="47">
                  <c:v>180</c:v>
                </c:pt>
                <c:pt idx="48">
                  <c:v>170</c:v>
                </c:pt>
                <c:pt idx="49">
                  <c:v>160</c:v>
                </c:pt>
                <c:pt idx="50">
                  <c:v>150</c:v>
                </c:pt>
                <c:pt idx="51">
                  <c:v>140</c:v>
                </c:pt>
                <c:pt idx="52">
                  <c:v>130</c:v>
                </c:pt>
                <c:pt idx="53">
                  <c:v>120</c:v>
                </c:pt>
                <c:pt idx="54">
                  <c:v>110</c:v>
                </c:pt>
                <c:pt idx="55">
                  <c:v>100</c:v>
                </c:pt>
                <c:pt idx="56">
                  <c:v>90</c:v>
                </c:pt>
                <c:pt idx="57">
                  <c:v>80</c:v>
                </c:pt>
                <c:pt idx="58">
                  <c:v>70</c:v>
                </c:pt>
                <c:pt idx="59">
                  <c:v>60</c:v>
                </c:pt>
                <c:pt idx="60">
                  <c:v>50</c:v>
                </c:pt>
                <c:pt idx="61">
                  <c:v>40</c:v>
                </c:pt>
                <c:pt idx="62">
                  <c:v>30</c:v>
                </c:pt>
                <c:pt idx="63">
                  <c:v>20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1</c15:sqref>
                        </c15:formulaRef>
                      </c:ext>
                    </c:extLst>
                    <c:strCache>
                      <c:ptCount val="1"/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2707-41C9-8A4F-8727190D15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365387"/>
        <c:axId val="9227177"/>
      </c:scatterChart>
      <c:valAx>
        <c:axId val="79365387"/>
        <c:scaling>
          <c:orientation val="minMax"/>
          <c:min val="4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800" b="1" u="none" strike="noStrike">
                    <a:solidFill>
                      <a:srgbClr val="000000"/>
                    </a:solidFill>
                    <a:uFillTx/>
                    <a:latin typeface="Arial"/>
                  </a:rPr>
                  <a:t>Depth of Invasion (inch)</a:t>
                </a:r>
              </a:p>
            </c:rich>
          </c:tx>
          <c:layout>
            <c:manualLayout>
              <c:xMode val="edge"/>
              <c:yMode val="edge"/>
              <c:x val="0.39427119831815"/>
              <c:y val="0.86668650498437705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00" b="1" u="none" strike="noStrike">
                <a:solidFill>
                  <a:srgbClr val="000000"/>
                </a:solidFill>
                <a:uFillTx/>
                <a:latin typeface="Arial"/>
              </a:defRPr>
            </a:pPr>
            <a:endParaRPr lang="en-US"/>
          </a:p>
        </c:txPr>
        <c:crossAx val="9227177"/>
        <c:crosses val="autoZero"/>
        <c:crossBetween val="midCat"/>
        <c:majorUnit val="10"/>
      </c:valAx>
      <c:valAx>
        <c:axId val="9227177"/>
        <c:scaling>
          <c:orientation val="minMax"/>
          <c:min val="10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800" b="1" u="none" strike="noStrike">
                    <a:solidFill>
                      <a:srgbClr val="000000"/>
                    </a:solidFill>
                    <a:uFillTx/>
                    <a:latin typeface="Arial"/>
                  </a:rPr>
                  <a:t>Drilling Time (min)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00" b="1" u="none" strike="noStrike">
                <a:solidFill>
                  <a:srgbClr val="000000"/>
                </a:solidFill>
                <a:uFillTx/>
                <a:latin typeface="Arial"/>
              </a:defRPr>
            </a:pPr>
            <a:endParaRPr lang="en-US"/>
          </a:p>
        </c:txPr>
        <c:crossAx val="79365387"/>
        <c:crosses val="autoZero"/>
        <c:crossBetween val="midCat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plotVisOnly val="1"/>
    <c:dispBlanksAs val="gap"/>
    <c:showDLblsOverMax val="1"/>
  </c:chart>
  <c:spPr>
    <a:solidFill>
      <a:srgbClr val="FF99CC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53336844481228"/>
          <c:y val="8.6801426872770496E-2"/>
          <c:w val="0.80309984199834505"/>
          <c:h val="0.72929052715021803"/>
        </c:manualLayout>
      </c:layout>
      <c:scatterChart>
        <c:scatterStyle val="lineMarker"/>
        <c:varyColors val="0"/>
        <c:ser>
          <c:idx val="0"/>
          <c:order val="0"/>
          <c:spPr>
            <a:ln w="0">
              <a:solidFill>
                <a:srgbClr val="000080"/>
              </a:solidFill>
            </a:ln>
          </c:spPr>
          <c:marker>
            <c:symbol val="diamond"/>
            <c:size val="3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6"/>
                <c:pt idx="0">
                  <c:v>1021.92</c:v>
                </c:pt>
                <c:pt idx="1">
                  <c:v>510.96</c:v>
                </c:pt>
                <c:pt idx="2">
                  <c:v>340.64</c:v>
                </c:pt>
                <c:pt idx="3">
                  <c:v>170.32</c:v>
                </c:pt>
                <c:pt idx="4">
                  <c:v>10.219200000000001</c:v>
                </c:pt>
                <c:pt idx="5">
                  <c:v>5.1096000000000004</c:v>
                </c:pt>
              </c:numCache>
            </c:numRef>
          </c:xVal>
          <c:yVal>
            <c:numRef>
              <c:f>1</c:f>
              <c:numCache>
                <c:formatCode>General</c:formatCode>
                <c:ptCount val="6"/>
                <c:pt idx="0">
                  <c:v>237.688697988326</c:v>
                </c:pt>
                <c:pt idx="1">
                  <c:v>143.51015727596999</c:v>
                </c:pt>
                <c:pt idx="2">
                  <c:v>112.117310371852</c:v>
                </c:pt>
                <c:pt idx="3">
                  <c:v>76.239771052859197</c:v>
                </c:pt>
                <c:pt idx="4">
                  <c:v>31.3928469041185</c:v>
                </c:pt>
                <c:pt idx="5">
                  <c:v>26.908154489244399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1</c15:sqref>
                        </c15:formulaRef>
                      </c:ext>
                    </c:extLst>
                    <c:strCache>
                      <c:ptCount val="1"/>
                      <c:pt idx="0">
                        <c:v>Actual data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A62C-4B22-84F2-C8EE4FA7B8E3}"/>
            </c:ext>
          </c:extLst>
        </c:ser>
        <c:ser>
          <c:idx val="1"/>
          <c:order val="1"/>
          <c:spPr>
            <a:ln w="0">
              <a:solidFill>
                <a:srgbClr val="FF00FF"/>
              </a:solidFill>
            </a:ln>
          </c:spPr>
          <c:marker>
            <c:symbol val="square"/>
            <c:size val="3"/>
            <c:spPr>
              <a:solidFill>
                <a:srgbClr val="FF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6"/>
                <c:pt idx="0">
                  <c:v>1021.92</c:v>
                </c:pt>
                <c:pt idx="1">
                  <c:v>510.96</c:v>
                </c:pt>
                <c:pt idx="2">
                  <c:v>340.64</c:v>
                </c:pt>
                <c:pt idx="3">
                  <c:v>170.32</c:v>
                </c:pt>
                <c:pt idx="4">
                  <c:v>10.219200000000001</c:v>
                </c:pt>
                <c:pt idx="5">
                  <c:v>5.1096000000000004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6"/>
                <c:pt idx="0">
                  <c:v>184.63194822010399</c:v>
                </c:pt>
                <c:pt idx="1">
                  <c:v>143.51015727596999</c:v>
                </c:pt>
                <c:pt idx="2">
                  <c:v>123.843603345107</c:v>
                </c:pt>
                <c:pt idx="3">
                  <c:v>96.260778077755901</c:v>
                </c:pt>
                <c:pt idx="4">
                  <c:v>34.618490291269403</c:v>
                </c:pt>
                <c:pt idx="5">
                  <c:v>26.908154489244399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2</c15:sqref>
                        </c15:formulaRef>
                      </c:ext>
                    </c:extLst>
                    <c:strCache>
                      <c:ptCount val="1"/>
                      <c:pt idx="0">
                        <c:v>Power Law model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A62C-4B22-84F2-C8EE4FA7B8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679337"/>
        <c:axId val="36125667"/>
      </c:scatterChart>
      <c:valAx>
        <c:axId val="95679337"/>
        <c:scaling>
          <c:orientation val="minMax"/>
          <c:min val="0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lang="en-GB" sz="875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Shear rate (1/sec)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75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36125667"/>
        <c:crosses val="autoZero"/>
        <c:crossBetween val="midCat"/>
      </c:valAx>
      <c:valAx>
        <c:axId val="36125667"/>
        <c:scaling>
          <c:orientation val="minMax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lang="en-GB" sz="875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Shear stress (dyne/cm^2)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75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95679337"/>
        <c:crosses val="autoZero"/>
        <c:crossBetween val="midCat"/>
      </c:valAx>
      <c:spPr>
        <a:solidFill>
          <a:srgbClr val="FFFFCC"/>
        </a:solidFill>
        <a:ln w="12600">
          <a:solidFill>
            <a:srgbClr val="808080"/>
          </a:solidFill>
          <a:round/>
        </a:ln>
      </c:spPr>
    </c:plotArea>
    <c:legend>
      <c:legendPos val="r"/>
      <c:layout>
        <c:manualLayout>
          <c:xMode val="edge"/>
          <c:yMode val="edge"/>
          <c:x val="0.24249492137536699"/>
          <c:y val="2.4441802087462002E-2"/>
          <c:w val="0.589240030097818"/>
          <c:h val="6.9767441860465101E-2"/>
        </c:manualLayout>
      </c:layout>
      <c:overlay val="0"/>
      <c:spPr>
        <a:solidFill>
          <a:srgbClr val="FFFFFF"/>
        </a:solidFill>
        <a:ln w="0">
          <a:solidFill>
            <a:srgbClr val="000000"/>
          </a:solidFill>
        </a:ln>
      </c:spPr>
      <c:txPr>
        <a:bodyPr/>
        <a:lstStyle/>
        <a:p>
          <a:pPr>
            <a:defRPr sz="1000" b="1" u="none" strike="noStrike">
              <a:solidFill>
                <a:srgbClr val="000000"/>
              </a:solidFill>
              <a:uFillTx/>
              <a:latin typeface="Times New Roman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8080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5214113389626099"/>
          <c:y val="8.4100758396532999E-2"/>
          <c:w val="0.81581724969843195"/>
          <c:h val="0.68824485373781197"/>
        </c:manualLayout>
      </c:layout>
      <c:scatterChart>
        <c:scatterStyle val="lineMarker"/>
        <c:varyColors val="0"/>
        <c:ser>
          <c:idx val="0"/>
          <c:order val="0"/>
          <c:tx>
            <c:v>Dynamic Filtration</c:v>
          </c:tx>
          <c:spPr>
            <a:ln w="0">
              <a:solidFill>
                <a:srgbClr val="000080"/>
              </a:solidFill>
            </a:ln>
          </c:spPr>
          <c:marker>
            <c:symbol val="diamond"/>
            <c:size val="3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'Water-Based Mud 2'!$AE$3:$AE$51</c:f>
              <c:numCache>
                <c:formatCode>0.00</c:formatCode>
                <c:ptCount val="49"/>
                <c:pt idx="0" formatCode="General">
                  <c:v>0</c:v>
                </c:pt>
                <c:pt idx="1">
                  <c:v>1</c:v>
                </c:pt>
                <c:pt idx="2" formatCode="General">
                  <c:v>2</c:v>
                </c:pt>
                <c:pt idx="3" formatCode="General">
                  <c:v>5</c:v>
                </c:pt>
                <c:pt idx="4" formatCode="General">
                  <c:v>10</c:v>
                </c:pt>
                <c:pt idx="5" formatCode="General">
                  <c:v>20</c:v>
                </c:pt>
                <c:pt idx="6" formatCode="General">
                  <c:v>30</c:v>
                </c:pt>
                <c:pt idx="7" formatCode="General">
                  <c:v>35</c:v>
                </c:pt>
                <c:pt idx="8" formatCode="General">
                  <c:v>45</c:v>
                </c:pt>
                <c:pt idx="9" formatCode="General">
                  <c:v>55</c:v>
                </c:pt>
                <c:pt idx="10" formatCode="General">
                  <c:v>65</c:v>
                </c:pt>
                <c:pt idx="11" formatCode="General">
                  <c:v>75</c:v>
                </c:pt>
                <c:pt idx="12" formatCode="General">
                  <c:v>85</c:v>
                </c:pt>
                <c:pt idx="13" formatCode="General">
                  <c:v>95</c:v>
                </c:pt>
                <c:pt idx="14" formatCode="General">
                  <c:v>105</c:v>
                </c:pt>
                <c:pt idx="15" formatCode="General">
                  <c:v>115</c:v>
                </c:pt>
                <c:pt idx="16" formatCode="General">
                  <c:v>125</c:v>
                </c:pt>
                <c:pt idx="17" formatCode="General">
                  <c:v>135</c:v>
                </c:pt>
                <c:pt idx="18" formatCode="General">
                  <c:v>145</c:v>
                </c:pt>
                <c:pt idx="19" formatCode="General">
                  <c:v>155</c:v>
                </c:pt>
                <c:pt idx="20" formatCode="General">
                  <c:v>165</c:v>
                </c:pt>
                <c:pt idx="21" formatCode="General">
                  <c:v>175</c:v>
                </c:pt>
                <c:pt idx="22" formatCode="General">
                  <c:v>185</c:v>
                </c:pt>
                <c:pt idx="23" formatCode="General">
                  <c:v>195</c:v>
                </c:pt>
                <c:pt idx="24" formatCode="General">
                  <c:v>205</c:v>
                </c:pt>
                <c:pt idx="25" formatCode="General">
                  <c:v>215</c:v>
                </c:pt>
                <c:pt idx="26" formatCode="General">
                  <c:v>225</c:v>
                </c:pt>
                <c:pt idx="27" formatCode="General">
                  <c:v>255</c:v>
                </c:pt>
                <c:pt idx="28" formatCode="General">
                  <c:v>285</c:v>
                </c:pt>
                <c:pt idx="29" formatCode="General">
                  <c:v>300</c:v>
                </c:pt>
                <c:pt idx="30" formatCode="General">
                  <c:v>330</c:v>
                </c:pt>
                <c:pt idx="31" formatCode="General">
                  <c:v>360</c:v>
                </c:pt>
                <c:pt idx="32" formatCode="General">
                  <c:v>390</c:v>
                </c:pt>
                <c:pt idx="33" formatCode="General">
                  <c:v>420</c:v>
                </c:pt>
                <c:pt idx="34" formatCode="General">
                  <c:v>450</c:v>
                </c:pt>
                <c:pt idx="35" formatCode="General">
                  <c:v>480</c:v>
                </c:pt>
                <c:pt idx="36" formatCode="General">
                  <c:v>510</c:v>
                </c:pt>
                <c:pt idx="37" formatCode="General">
                  <c:v>540</c:v>
                </c:pt>
                <c:pt idx="38" formatCode="General">
                  <c:v>570</c:v>
                </c:pt>
                <c:pt idx="39" formatCode="General">
                  <c:v>600</c:v>
                </c:pt>
                <c:pt idx="40" formatCode="General">
                  <c:v>630</c:v>
                </c:pt>
                <c:pt idx="41" formatCode="General">
                  <c:v>660</c:v>
                </c:pt>
                <c:pt idx="42" formatCode="General">
                  <c:v>690</c:v>
                </c:pt>
                <c:pt idx="43" formatCode="General">
                  <c:v>720</c:v>
                </c:pt>
                <c:pt idx="44" formatCode="General">
                  <c:v>750</c:v>
                </c:pt>
                <c:pt idx="45" formatCode="General">
                  <c:v>780</c:v>
                </c:pt>
                <c:pt idx="46" formatCode="General">
                  <c:v>810</c:v>
                </c:pt>
                <c:pt idx="47" formatCode="0.0">
                  <c:v>2280</c:v>
                </c:pt>
                <c:pt idx="48" formatCode="General">
                  <c:v>3600</c:v>
                </c:pt>
              </c:numCache>
            </c:numRef>
          </c:xVal>
          <c:yVal>
            <c:numRef>
              <c:f>'Water-Based Mud 2'!$AF$3:$AF$51</c:f>
              <c:numCache>
                <c:formatCode>0.00</c:formatCode>
                <c:ptCount val="49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50-4FB4-A721-98CAD49634A9}"/>
            </c:ext>
          </c:extLst>
        </c:ser>
        <c:ser>
          <c:idx val="1"/>
          <c:order val="1"/>
          <c:tx>
            <c:v>Static Filtration</c:v>
          </c:tx>
          <c:spPr>
            <a:ln w="0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'Water-Based Mud 2'!$AE$3:$AE$50</c:f>
              <c:numCache>
                <c:formatCode>0.00</c:formatCode>
                <c:ptCount val="48"/>
                <c:pt idx="0" formatCode="General">
                  <c:v>0</c:v>
                </c:pt>
                <c:pt idx="1">
                  <c:v>1</c:v>
                </c:pt>
                <c:pt idx="2" formatCode="General">
                  <c:v>2</c:v>
                </c:pt>
                <c:pt idx="3" formatCode="General">
                  <c:v>5</c:v>
                </c:pt>
                <c:pt idx="4" formatCode="General">
                  <c:v>10</c:v>
                </c:pt>
                <c:pt idx="5" formatCode="General">
                  <c:v>20</c:v>
                </c:pt>
                <c:pt idx="6" formatCode="General">
                  <c:v>30</c:v>
                </c:pt>
                <c:pt idx="7" formatCode="General">
                  <c:v>35</c:v>
                </c:pt>
                <c:pt idx="8" formatCode="General">
                  <c:v>45</c:v>
                </c:pt>
                <c:pt idx="9" formatCode="General">
                  <c:v>55</c:v>
                </c:pt>
                <c:pt idx="10" formatCode="General">
                  <c:v>65</c:v>
                </c:pt>
                <c:pt idx="11" formatCode="General">
                  <c:v>75</c:v>
                </c:pt>
                <c:pt idx="12" formatCode="General">
                  <c:v>85</c:v>
                </c:pt>
                <c:pt idx="13" formatCode="General">
                  <c:v>95</c:v>
                </c:pt>
                <c:pt idx="14" formatCode="General">
                  <c:v>105</c:v>
                </c:pt>
                <c:pt idx="15" formatCode="General">
                  <c:v>115</c:v>
                </c:pt>
                <c:pt idx="16" formatCode="General">
                  <c:v>125</c:v>
                </c:pt>
                <c:pt idx="17" formatCode="General">
                  <c:v>135</c:v>
                </c:pt>
                <c:pt idx="18" formatCode="General">
                  <c:v>145</c:v>
                </c:pt>
                <c:pt idx="19" formatCode="General">
                  <c:v>155</c:v>
                </c:pt>
                <c:pt idx="20" formatCode="General">
                  <c:v>165</c:v>
                </c:pt>
                <c:pt idx="21" formatCode="General">
                  <c:v>175</c:v>
                </c:pt>
                <c:pt idx="22" formatCode="General">
                  <c:v>185</c:v>
                </c:pt>
                <c:pt idx="23" formatCode="General">
                  <c:v>195</c:v>
                </c:pt>
                <c:pt idx="24" formatCode="General">
                  <c:v>205</c:v>
                </c:pt>
                <c:pt idx="25" formatCode="General">
                  <c:v>215</c:v>
                </c:pt>
                <c:pt idx="26" formatCode="General">
                  <c:v>225</c:v>
                </c:pt>
                <c:pt idx="27" formatCode="General">
                  <c:v>255</c:v>
                </c:pt>
                <c:pt idx="28" formatCode="General">
                  <c:v>285</c:v>
                </c:pt>
                <c:pt idx="29" formatCode="General">
                  <c:v>300</c:v>
                </c:pt>
                <c:pt idx="30" formatCode="General">
                  <c:v>330</c:v>
                </c:pt>
                <c:pt idx="31" formatCode="General">
                  <c:v>360</c:v>
                </c:pt>
                <c:pt idx="32" formatCode="General">
                  <c:v>390</c:v>
                </c:pt>
                <c:pt idx="33" formatCode="General">
                  <c:v>420</c:v>
                </c:pt>
                <c:pt idx="34" formatCode="General">
                  <c:v>450</c:v>
                </c:pt>
                <c:pt idx="35" formatCode="General">
                  <c:v>480</c:v>
                </c:pt>
                <c:pt idx="36" formatCode="General">
                  <c:v>510</c:v>
                </c:pt>
                <c:pt idx="37" formatCode="General">
                  <c:v>540</c:v>
                </c:pt>
                <c:pt idx="38" formatCode="General">
                  <c:v>570</c:v>
                </c:pt>
                <c:pt idx="39" formatCode="General">
                  <c:v>600</c:v>
                </c:pt>
                <c:pt idx="40" formatCode="General">
                  <c:v>630</c:v>
                </c:pt>
                <c:pt idx="41" formatCode="General">
                  <c:v>660</c:v>
                </c:pt>
                <c:pt idx="42" formatCode="General">
                  <c:v>690</c:v>
                </c:pt>
                <c:pt idx="43" formatCode="General">
                  <c:v>720</c:v>
                </c:pt>
                <c:pt idx="44" formatCode="General">
                  <c:v>750</c:v>
                </c:pt>
                <c:pt idx="45" formatCode="General">
                  <c:v>780</c:v>
                </c:pt>
                <c:pt idx="46" formatCode="General">
                  <c:v>810</c:v>
                </c:pt>
                <c:pt idx="47" formatCode="0.0">
                  <c:v>2280</c:v>
                </c:pt>
              </c:numCache>
            </c:numRef>
          </c:xVal>
          <c:yVal>
            <c:numRef>
              <c:f>'Water-Based Mud 2'!$AD$3:$AD$50</c:f>
              <c:numCache>
                <c:formatCode>General</c:formatCode>
                <c:ptCount val="48"/>
                <c:pt idx="0">
                  <c:v>0</c:v>
                </c:pt>
                <c:pt idx="1">
                  <c:v>0.43793364690598902</c:v>
                </c:pt>
                <c:pt idx="2">
                  <c:v>0.80838760384542796</c:v>
                </c:pt>
                <c:pt idx="3">
                  <c:v>1.70372816680459</c:v>
                </c:pt>
                <c:pt idx="4">
                  <c:v>2.8409921159988798</c:v>
                </c:pt>
                <c:pt idx="5">
                  <c:v>4.5475498726108698</c:v>
                </c:pt>
                <c:pt idx="6">
                  <c:v>5.8933905263511397</c:v>
                </c:pt>
                <c:pt idx="7">
                  <c:v>6.4866492996394998</c:v>
                </c:pt>
                <c:pt idx="8">
                  <c:v>7.5633896188660499</c:v>
                </c:pt>
                <c:pt idx="9">
                  <c:v>8.5306042404696907</c:v>
                </c:pt>
                <c:pt idx="10">
                  <c:v>9.4161653078676792</c:v>
                </c:pt>
                <c:pt idx="11">
                  <c:v>10.237811691790499</c:v>
                </c:pt>
                <c:pt idx="12">
                  <c:v>11.007660807035499</c:v>
                </c:pt>
                <c:pt idx="13">
                  <c:v>11.734425519039799</c:v>
                </c:pt>
                <c:pt idx="14">
                  <c:v>12.424619544557</c:v>
                </c:pt>
                <c:pt idx="15">
                  <c:v>13.083264025812801</c:v>
                </c:pt>
                <c:pt idx="16">
                  <c:v>13.7143265315298</c:v>
                </c:pt>
                <c:pt idx="17">
                  <c:v>14.3210068012578</c:v>
                </c:pt>
                <c:pt idx="18">
                  <c:v>14.905929955902099</c:v>
                </c:pt>
                <c:pt idx="19">
                  <c:v>15.471281359449</c:v>
                </c:pt>
                <c:pt idx="20">
                  <c:v>16.018903324236899</c:v>
                </c:pt>
                <c:pt idx="21">
                  <c:v>16.550366079281499</c:v>
                </c:pt>
                <c:pt idx="22">
                  <c:v>17.067020908954898</c:v>
                </c:pt>
                <c:pt idx="23">
                  <c:v>17.570040649157701</c:v>
                </c:pt>
                <c:pt idx="24">
                  <c:v>18.0604510337342</c:v>
                </c:pt>
                <c:pt idx="25">
                  <c:v>18.539155297723699</c:v>
                </c:pt>
                <c:pt idx="26">
                  <c:v>19.006953729924199</c:v>
                </c:pt>
                <c:pt idx="27">
                  <c:v>20.351682688617998</c:v>
                </c:pt>
                <c:pt idx="28">
                  <c:v>21.619977413497999</c:v>
                </c:pt>
                <c:pt idx="29">
                  <c:v>22.229241424669102</c:v>
                </c:pt>
                <c:pt idx="30">
                  <c:v>23.403971225310201</c:v>
                </c:pt>
                <c:pt idx="31">
                  <c:v>24.5267293124855</c:v>
                </c:pt>
                <c:pt idx="32">
                  <c:v>25.603858100261402</c:v>
                </c:pt>
                <c:pt idx="33">
                  <c:v>26.640506210974301</c:v>
                </c:pt>
                <c:pt idx="34">
                  <c:v>27.6409212073841</c:v>
                </c:pt>
                <c:pt idx="35">
                  <c:v>28.608656030996201</c:v>
                </c:pt>
                <c:pt idx="36">
                  <c:v>29.546718340032299</c:v>
                </c:pt>
                <c:pt idx="37">
                  <c:v>30.4576809403694</c:v>
                </c:pt>
                <c:pt idx="38">
                  <c:v>31.3437650247885</c:v>
                </c:pt>
                <c:pt idx="39">
                  <c:v>32.206903981941998</c:v>
                </c:pt>
                <c:pt idx="40">
                  <c:v>33.048793046712603</c:v>
                </c:pt>
                <c:pt idx="41">
                  <c:v>33.870928452338397</c:v>
                </c:pt>
                <c:pt idx="42">
                  <c:v>34.674638676260599</c:v>
                </c:pt>
                <c:pt idx="43">
                  <c:v>35.461109647683401</c:v>
                </c:pt>
                <c:pt idx="44">
                  <c:v>36.231405284624998</c:v>
                </c:pt>
                <c:pt idx="45">
                  <c:v>36.986484376495703</c:v>
                </c:pt>
                <c:pt idx="46">
                  <c:v>37.727214576914797</c:v>
                </c:pt>
                <c:pt idx="47">
                  <c:v>64.597497431309193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550-4FB4-A721-98CAD49634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21538"/>
        <c:axId val="37063578"/>
      </c:scatterChart>
      <c:valAx>
        <c:axId val="56021538"/>
        <c:scaling>
          <c:orientation val="minMax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lang="en-GB" sz="1175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Time (min)</a:t>
                </a:r>
              </a:p>
            </c:rich>
          </c:tx>
          <c:layout>
            <c:manualLayout>
              <c:xMode val="edge"/>
              <c:yMode val="edge"/>
              <c:x val="0.49087756332931198"/>
              <c:y val="0.87852112676056304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175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37063578"/>
        <c:crosses val="autoZero"/>
        <c:crossBetween val="midCat"/>
      </c:valAx>
      <c:valAx>
        <c:axId val="37063578"/>
        <c:scaling>
          <c:orientation val="minMax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lang="en-GB" sz="1175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Filtration volume (cc0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175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56021538"/>
        <c:crosses val="autoZero"/>
        <c:crossBetween val="midCat"/>
      </c:valAx>
      <c:spPr>
        <a:gradFill>
          <a:gsLst>
            <a:gs pos="0">
              <a:srgbClr val="CCFFCC"/>
            </a:gs>
            <a:gs pos="100000">
              <a:srgbClr val="FFFFCC"/>
            </a:gs>
          </a:gsLst>
          <a:path path="rect">
            <a:fillToRect r="100000" b="100000"/>
          </a:path>
        </a:gradFill>
        <a:ln w="12600">
          <a:solidFill>
            <a:srgbClr val="808080"/>
          </a:solidFill>
          <a:round/>
        </a:ln>
      </c:spPr>
    </c:plotArea>
    <c:legend>
      <c:legendPos val="r"/>
      <c:layout>
        <c:manualLayout>
          <c:xMode val="edge"/>
          <c:yMode val="edge"/>
          <c:x val="0.23854041013269001"/>
          <c:y val="1.7876489707475601E-2"/>
          <c:w val="0.64630928145970001"/>
          <c:h val="0.109711499390492"/>
        </c:manualLayout>
      </c:layout>
      <c:overlay val="0"/>
      <c:spPr>
        <a:solidFill>
          <a:srgbClr val="FFFFFF"/>
        </a:solidFill>
        <a:ln w="0">
          <a:solidFill>
            <a:srgbClr val="000000"/>
          </a:solidFill>
        </a:ln>
      </c:spPr>
      <c:txPr>
        <a:bodyPr/>
        <a:lstStyle/>
        <a:p>
          <a:pPr>
            <a:defRPr sz="1200" b="1" u="none" strike="noStrike">
              <a:solidFill>
                <a:srgbClr val="000000"/>
              </a:solidFill>
              <a:uFillTx/>
              <a:latin typeface="Times New Roman"/>
            </a:defRPr>
          </a:pPr>
          <a:endParaRPr lang="en-US"/>
        </a:p>
      </c:txPr>
    </c:legend>
    <c:plotVisOnly val="1"/>
    <c:dispBlanksAs val="gap"/>
    <c:showDLblsOverMax val="1"/>
  </c:chart>
  <c:spPr>
    <a:blipFill rotWithShape="0">
      <a:blip xmlns:r="http://schemas.openxmlformats.org/officeDocument/2006/relationships" r:embed="rId1"/>
      <a:tile tx="0" ty="0" sx="100000" sy="100000" algn="ctr"/>
    </a:blip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0">
              <a:solidFill>
                <a:srgbClr val="000080"/>
              </a:solidFill>
            </a:ln>
          </c:spPr>
          <c:marker>
            <c:symbol val="diamond"/>
            <c:size val="3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'Water-Based Mud 2'!$AQ$3:$AQ$66</c:f>
              <c:numCache>
                <c:formatCode>General</c:formatCode>
                <c:ptCount val="64"/>
                <c:pt idx="0">
                  <c:v>104.976978788303</c:v>
                </c:pt>
                <c:pt idx="1">
                  <c:v>103.69777584940501</c:v>
                </c:pt>
                <c:pt idx="2">
                  <c:v>102.40259448230201</c:v>
                </c:pt>
                <c:pt idx="3">
                  <c:v>101.090820539257</c:v>
                </c:pt>
                <c:pt idx="4">
                  <c:v>99.7617994920586</c:v>
                </c:pt>
                <c:pt idx="5">
                  <c:v>98.414832614231301</c:v>
                </c:pt>
                <c:pt idx="6">
                  <c:v>97.049172686224495</c:v>
                </c:pt>
                <c:pt idx="7">
                  <c:v>95.664019148654305</c:v>
                </c:pt>
                <c:pt idx="8">
                  <c:v>94.258512614339196</c:v>
                </c:pt>
                <c:pt idx="9">
                  <c:v>92.831728632300099</c:v>
                </c:pt>
                <c:pt idx="10">
                  <c:v>91.382670575194197</c:v>
                </c:pt>
                <c:pt idx="11">
                  <c:v>89.910261494714405</c:v>
                </c:pt>
                <c:pt idx="12">
                  <c:v>88.413334755801202</c:v>
                </c:pt>
                <c:pt idx="13">
                  <c:v>86.890623218128795</c:v>
                </c:pt>
                <c:pt idx="14">
                  <c:v>85.340746679580306</c:v>
                </c:pt>
                <c:pt idx="15">
                  <c:v>83.762197227757497</c:v>
                </c:pt>
                <c:pt idx="16">
                  <c:v>82.153322057085504</c:v>
                </c:pt>
                <c:pt idx="17">
                  <c:v>80.512303194037699</c:v>
                </c:pt>
                <c:pt idx="18">
                  <c:v>78.837133422024706</c:v>
                </c:pt>
                <c:pt idx="19">
                  <c:v>77.125587497247494</c:v>
                </c:pt>
                <c:pt idx="20">
                  <c:v>75.375187478301001</c:v>
                </c:pt>
                <c:pt idx="21">
                  <c:v>73.583160627839902</c:v>
                </c:pt>
                <c:pt idx="22">
                  <c:v>71.746387843402601</c:v>
                </c:pt>
                <c:pt idx="23">
                  <c:v>69.861339875280095</c:v>
                </c:pt>
                <c:pt idx="24">
                  <c:v>67.923997598513495</c:v>
                </c:pt>
                <c:pt idx="25">
                  <c:v>65.929751177721897</c:v>
                </c:pt>
                <c:pt idx="26">
                  <c:v>63.873270864656497</c:v>
                </c:pt>
                <c:pt idx="27">
                  <c:v>61.748339018496999</c:v>
                </c:pt>
                <c:pt idx="28">
                  <c:v>59.547628098327202</c:v>
                </c:pt>
                <c:pt idx="29">
                  <c:v>57.262401737354203</c:v>
                </c:pt>
                <c:pt idx="30">
                  <c:v>54.882103579615098</c:v>
                </c:pt>
                <c:pt idx="31">
                  <c:v>52.393777625945802</c:v>
                </c:pt>
                <c:pt idx="32">
                  <c:v>49.781227129416202</c:v>
                </c:pt>
                <c:pt idx="33">
                  <c:v>47.023751606012603</c:v>
                </c:pt>
                <c:pt idx="34">
                  <c:v>44.094170314197299</c:v>
                </c:pt>
                <c:pt idx="35">
                  <c:v>40.955567341826601</c:v>
                </c:pt>
                <c:pt idx="36">
                  <c:v>37.555573978896298</c:v>
                </c:pt>
                <c:pt idx="37">
                  <c:v>33.815436970085202</c:v>
                </c:pt>
                <c:pt idx="38">
                  <c:v>29.606526612746499</c:v>
                </c:pt>
                <c:pt idx="39">
                  <c:v>29.037548934878199</c:v>
                </c:pt>
                <c:pt idx="40">
                  <c:v>28.457197300852201</c:v>
                </c:pt>
                <c:pt idx="41">
                  <c:v>27.864761048568301</c:v>
                </c:pt>
                <c:pt idx="42">
                  <c:v>27.259452275641799</c:v>
                </c:pt>
                <c:pt idx="43">
                  <c:v>26.640393548935702</c:v>
                </c:pt>
                <c:pt idx="44">
                  <c:v>26.006602979173501</c:v>
                </c:pt>
                <c:pt idx="45">
                  <c:v>25.356975935441099</c:v>
                </c:pt>
                <c:pt idx="46">
                  <c:v>24.690262425999499</c:v>
                </c:pt>
                <c:pt idx="47">
                  <c:v>24.005038819774999</c:v>
                </c:pt>
                <c:pt idx="48">
                  <c:v>23.2996720752264</c:v>
                </c:pt>
                <c:pt idx="49">
                  <c:v>22.5722738971347</c:v>
                </c:pt>
                <c:pt idx="50">
                  <c:v>21.820641121686801</c:v>
                </c:pt>
                <c:pt idx="51">
                  <c:v>21.0421769081916</c:v>
                </c:pt>
                <c:pt idx="52">
                  <c:v>20.233784596802799</c:v>
                </c:pt>
                <c:pt idx="53">
                  <c:v>19.391721666319299</c:v>
                </c:pt>
                <c:pt idx="54">
                  <c:v>18.511393768654401</c:v>
                </c:pt>
                <c:pt idx="55">
                  <c:v>17.587055732337902</c:v>
                </c:pt>
                <c:pt idx="56">
                  <c:v>16.611362358534699</c:v>
                </c:pt>
                <c:pt idx="57">
                  <c:v>15.574664987752501</c:v>
                </c:pt>
                <c:pt idx="58">
                  <c:v>14.463852168592799</c:v>
                </c:pt>
                <c:pt idx="59">
                  <c:v>13.260311068338099</c:v>
                </c:pt>
                <c:pt idx="60">
                  <c:v>11.9360244513519</c:v>
                </c:pt>
                <c:pt idx="61">
                  <c:v>10.445166814247299</c:v>
                </c:pt>
                <c:pt idx="62">
                  <c:v>8.7025478942454395</c:v>
                </c:pt>
                <c:pt idx="63">
                  <c:v>6.5090068309856504</c:v>
                </c:pt>
              </c:numCache>
            </c:numRef>
          </c:xVal>
          <c:yVal>
            <c:numRef>
              <c:f>'Water-Based Mud 2'!$AV$3:$AV$66</c:f>
              <c:numCache>
                <c:formatCode>General</c:formatCode>
                <c:ptCount val="64"/>
                <c:pt idx="0">
                  <c:v>3300</c:v>
                </c:pt>
                <c:pt idx="1">
                  <c:v>3220</c:v>
                </c:pt>
                <c:pt idx="2">
                  <c:v>3140</c:v>
                </c:pt>
                <c:pt idx="3">
                  <c:v>3060</c:v>
                </c:pt>
                <c:pt idx="4">
                  <c:v>2980</c:v>
                </c:pt>
                <c:pt idx="5">
                  <c:v>2900</c:v>
                </c:pt>
                <c:pt idx="6">
                  <c:v>2820</c:v>
                </c:pt>
                <c:pt idx="7">
                  <c:v>2740</c:v>
                </c:pt>
                <c:pt idx="8">
                  <c:v>2660</c:v>
                </c:pt>
                <c:pt idx="9">
                  <c:v>2580</c:v>
                </c:pt>
                <c:pt idx="10">
                  <c:v>2500</c:v>
                </c:pt>
                <c:pt idx="11">
                  <c:v>2420</c:v>
                </c:pt>
                <c:pt idx="12">
                  <c:v>2340</c:v>
                </c:pt>
                <c:pt idx="13">
                  <c:v>2260</c:v>
                </c:pt>
                <c:pt idx="14">
                  <c:v>2180</c:v>
                </c:pt>
                <c:pt idx="15">
                  <c:v>2100</c:v>
                </c:pt>
                <c:pt idx="16">
                  <c:v>2020</c:v>
                </c:pt>
                <c:pt idx="17">
                  <c:v>1940</c:v>
                </c:pt>
                <c:pt idx="18">
                  <c:v>1860</c:v>
                </c:pt>
                <c:pt idx="19">
                  <c:v>1780</c:v>
                </c:pt>
                <c:pt idx="20">
                  <c:v>1700</c:v>
                </c:pt>
                <c:pt idx="21">
                  <c:v>1620</c:v>
                </c:pt>
                <c:pt idx="22">
                  <c:v>1540</c:v>
                </c:pt>
                <c:pt idx="23">
                  <c:v>1460</c:v>
                </c:pt>
                <c:pt idx="24">
                  <c:v>1380</c:v>
                </c:pt>
                <c:pt idx="25">
                  <c:v>1300</c:v>
                </c:pt>
                <c:pt idx="26">
                  <c:v>1220</c:v>
                </c:pt>
                <c:pt idx="27">
                  <c:v>1140</c:v>
                </c:pt>
                <c:pt idx="28">
                  <c:v>1060</c:v>
                </c:pt>
                <c:pt idx="29">
                  <c:v>980</c:v>
                </c:pt>
                <c:pt idx="30">
                  <c:v>900</c:v>
                </c:pt>
                <c:pt idx="31">
                  <c:v>820</c:v>
                </c:pt>
                <c:pt idx="32">
                  <c:v>740</c:v>
                </c:pt>
                <c:pt idx="33">
                  <c:v>660</c:v>
                </c:pt>
                <c:pt idx="34">
                  <c:v>580</c:v>
                </c:pt>
                <c:pt idx="35">
                  <c:v>500</c:v>
                </c:pt>
                <c:pt idx="36">
                  <c:v>420</c:v>
                </c:pt>
                <c:pt idx="37">
                  <c:v>340</c:v>
                </c:pt>
                <c:pt idx="38">
                  <c:v>260</c:v>
                </c:pt>
                <c:pt idx="39">
                  <c:v>250</c:v>
                </c:pt>
                <c:pt idx="40">
                  <c:v>240</c:v>
                </c:pt>
                <c:pt idx="41">
                  <c:v>230</c:v>
                </c:pt>
                <c:pt idx="42">
                  <c:v>220</c:v>
                </c:pt>
                <c:pt idx="43">
                  <c:v>210</c:v>
                </c:pt>
                <c:pt idx="44">
                  <c:v>200</c:v>
                </c:pt>
                <c:pt idx="45">
                  <c:v>190</c:v>
                </c:pt>
                <c:pt idx="46">
                  <c:v>180</c:v>
                </c:pt>
                <c:pt idx="47">
                  <c:v>170</c:v>
                </c:pt>
                <c:pt idx="48">
                  <c:v>160</c:v>
                </c:pt>
                <c:pt idx="49">
                  <c:v>150</c:v>
                </c:pt>
                <c:pt idx="50">
                  <c:v>140</c:v>
                </c:pt>
                <c:pt idx="51">
                  <c:v>130</c:v>
                </c:pt>
                <c:pt idx="52">
                  <c:v>120</c:v>
                </c:pt>
                <c:pt idx="53">
                  <c:v>110</c:v>
                </c:pt>
                <c:pt idx="54">
                  <c:v>100</c:v>
                </c:pt>
                <c:pt idx="55">
                  <c:v>90</c:v>
                </c:pt>
                <c:pt idx="56">
                  <c:v>80</c:v>
                </c:pt>
                <c:pt idx="57">
                  <c:v>70</c:v>
                </c:pt>
                <c:pt idx="58">
                  <c:v>60</c:v>
                </c:pt>
                <c:pt idx="59">
                  <c:v>50</c:v>
                </c:pt>
                <c:pt idx="60">
                  <c:v>40</c:v>
                </c:pt>
                <c:pt idx="61">
                  <c:v>30</c:v>
                </c:pt>
                <c:pt idx="62">
                  <c:v>20</c:v>
                </c:pt>
                <c:pt idx="63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77-4A90-B834-D3A1C6BBF8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85668"/>
        <c:axId val="49306316"/>
      </c:scatterChart>
      <c:scatterChart>
        <c:scatterStyle val="lineMarker"/>
        <c:varyColors val="0"/>
        <c:ser>
          <c:idx val="1"/>
          <c:order val="1"/>
          <c:spPr>
            <a:ln w="12600">
              <a:solidFill>
                <a:srgbClr val="FF00FF"/>
              </a:solidFill>
              <a:round/>
            </a:ln>
          </c:spPr>
          <c:marker>
            <c:symbol val="square"/>
            <c:size val="5"/>
            <c:spPr>
              <a:solidFill>
                <a:srgbClr val="FF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1260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xVal>
            <c:numRef>
              <c:f>'Water-Based Mud 2'!$AQ$4:$AQ$66</c:f>
              <c:numCache>
                <c:formatCode>General</c:formatCode>
                <c:ptCount val="63"/>
                <c:pt idx="0">
                  <c:v>103.69777584940501</c:v>
                </c:pt>
                <c:pt idx="1">
                  <c:v>102.40259448230201</c:v>
                </c:pt>
                <c:pt idx="2">
                  <c:v>101.090820539257</c:v>
                </c:pt>
                <c:pt idx="3">
                  <c:v>99.7617994920586</c:v>
                </c:pt>
                <c:pt idx="4">
                  <c:v>98.414832614231301</c:v>
                </c:pt>
                <c:pt idx="5">
                  <c:v>97.049172686224495</c:v>
                </c:pt>
                <c:pt idx="6">
                  <c:v>95.664019148654305</c:v>
                </c:pt>
                <c:pt idx="7">
                  <c:v>94.258512614339196</c:v>
                </c:pt>
                <c:pt idx="8">
                  <c:v>92.831728632300099</c:v>
                </c:pt>
                <c:pt idx="9">
                  <c:v>91.382670575194197</c:v>
                </c:pt>
                <c:pt idx="10">
                  <c:v>89.910261494714405</c:v>
                </c:pt>
                <c:pt idx="11">
                  <c:v>88.413334755801202</c:v>
                </c:pt>
                <c:pt idx="12">
                  <c:v>86.890623218128795</c:v>
                </c:pt>
                <c:pt idx="13">
                  <c:v>85.340746679580306</c:v>
                </c:pt>
                <c:pt idx="14">
                  <c:v>83.762197227757497</c:v>
                </c:pt>
                <c:pt idx="15">
                  <c:v>82.153322057085504</c:v>
                </c:pt>
                <c:pt idx="16">
                  <c:v>80.512303194037699</c:v>
                </c:pt>
                <c:pt idx="17">
                  <c:v>78.837133422024706</c:v>
                </c:pt>
                <c:pt idx="18">
                  <c:v>77.125587497247494</c:v>
                </c:pt>
                <c:pt idx="19">
                  <c:v>75.375187478301001</c:v>
                </c:pt>
                <c:pt idx="20">
                  <c:v>73.583160627839902</c:v>
                </c:pt>
                <c:pt idx="21">
                  <c:v>71.746387843402601</c:v>
                </c:pt>
                <c:pt idx="22">
                  <c:v>69.861339875280095</c:v>
                </c:pt>
                <c:pt idx="23">
                  <c:v>67.923997598513495</c:v>
                </c:pt>
                <c:pt idx="24">
                  <c:v>65.929751177721897</c:v>
                </c:pt>
                <c:pt idx="25">
                  <c:v>63.873270864656497</c:v>
                </c:pt>
                <c:pt idx="26">
                  <c:v>61.748339018496999</c:v>
                </c:pt>
                <c:pt idx="27">
                  <c:v>59.547628098327202</c:v>
                </c:pt>
                <c:pt idx="28">
                  <c:v>57.262401737354203</c:v>
                </c:pt>
                <c:pt idx="29">
                  <c:v>54.882103579615098</c:v>
                </c:pt>
                <c:pt idx="30">
                  <c:v>52.393777625945802</c:v>
                </c:pt>
                <c:pt idx="31">
                  <c:v>49.781227129416202</c:v>
                </c:pt>
                <c:pt idx="32">
                  <c:v>47.023751606012603</c:v>
                </c:pt>
                <c:pt idx="33">
                  <c:v>44.094170314197299</c:v>
                </c:pt>
                <c:pt idx="34">
                  <c:v>40.955567341826601</c:v>
                </c:pt>
                <c:pt idx="35">
                  <c:v>37.555573978896298</c:v>
                </c:pt>
                <c:pt idx="36">
                  <c:v>33.815436970085202</c:v>
                </c:pt>
                <c:pt idx="37">
                  <c:v>29.606526612746499</c:v>
                </c:pt>
                <c:pt idx="38">
                  <c:v>29.037548934878199</c:v>
                </c:pt>
                <c:pt idx="39">
                  <c:v>28.457197300852201</c:v>
                </c:pt>
                <c:pt idx="40">
                  <c:v>27.864761048568301</c:v>
                </c:pt>
                <c:pt idx="41">
                  <c:v>27.259452275641799</c:v>
                </c:pt>
                <c:pt idx="42">
                  <c:v>26.640393548935702</c:v>
                </c:pt>
                <c:pt idx="43">
                  <c:v>26.006602979173501</c:v>
                </c:pt>
                <c:pt idx="44">
                  <c:v>25.356975935441099</c:v>
                </c:pt>
                <c:pt idx="45">
                  <c:v>24.690262425999499</c:v>
                </c:pt>
                <c:pt idx="46">
                  <c:v>24.005038819774999</c:v>
                </c:pt>
                <c:pt idx="47">
                  <c:v>23.2996720752264</c:v>
                </c:pt>
                <c:pt idx="48">
                  <c:v>22.5722738971347</c:v>
                </c:pt>
                <c:pt idx="49">
                  <c:v>21.820641121686801</c:v>
                </c:pt>
                <c:pt idx="50">
                  <c:v>21.0421769081916</c:v>
                </c:pt>
                <c:pt idx="51">
                  <c:v>20.233784596802799</c:v>
                </c:pt>
                <c:pt idx="52">
                  <c:v>19.391721666319299</c:v>
                </c:pt>
                <c:pt idx="53">
                  <c:v>18.511393768654401</c:v>
                </c:pt>
                <c:pt idx="54">
                  <c:v>17.587055732337902</c:v>
                </c:pt>
                <c:pt idx="55">
                  <c:v>16.611362358534699</c:v>
                </c:pt>
                <c:pt idx="56">
                  <c:v>15.574664987752501</c:v>
                </c:pt>
                <c:pt idx="57">
                  <c:v>14.463852168592799</c:v>
                </c:pt>
                <c:pt idx="58">
                  <c:v>13.260311068338099</c:v>
                </c:pt>
                <c:pt idx="59">
                  <c:v>11.9360244513519</c:v>
                </c:pt>
                <c:pt idx="60">
                  <c:v>10.445166814247299</c:v>
                </c:pt>
                <c:pt idx="61">
                  <c:v>8.7025478942454395</c:v>
                </c:pt>
                <c:pt idx="62">
                  <c:v>6.5090068309856504</c:v>
                </c:pt>
              </c:numCache>
            </c:numRef>
          </c:xVal>
          <c:yVal>
            <c:numRef>
              <c:f>'Water-Based Mud 2'!$AW$4:$AW$66</c:f>
              <c:numCache>
                <c:formatCode>General</c:formatCode>
                <c:ptCount val="6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377-4A90-B834-D3A1C6BBF8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44744"/>
        <c:axId val="62570358"/>
      </c:scatterChart>
      <c:valAx>
        <c:axId val="26985668"/>
        <c:scaling>
          <c:orientation val="minMax"/>
          <c:max val="130"/>
          <c:min val="7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125" b="0" u="none" strike="noStrike">
                <a:solidFill>
                  <a:srgbClr val="000000"/>
                </a:solidFill>
                <a:uFillTx/>
                <a:latin typeface="Arial"/>
              </a:defRPr>
            </a:pPr>
            <a:endParaRPr lang="en-US"/>
          </a:p>
        </c:txPr>
        <c:crossAx val="49306316"/>
        <c:crosses val="autoZero"/>
        <c:crossBetween val="midCat"/>
      </c:valAx>
      <c:valAx>
        <c:axId val="49306316"/>
        <c:scaling>
          <c:orientation val="minMax"/>
          <c:min val="28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125" b="0" u="none" strike="noStrike">
                <a:solidFill>
                  <a:srgbClr val="000000"/>
                </a:solidFill>
                <a:uFillTx/>
                <a:latin typeface="Arial"/>
              </a:defRPr>
            </a:pPr>
            <a:endParaRPr lang="en-US"/>
          </a:p>
        </c:txPr>
        <c:crossAx val="26985668"/>
        <c:crosses val="autoZero"/>
        <c:crossBetween val="midCat"/>
      </c:valAx>
      <c:valAx>
        <c:axId val="13144744"/>
        <c:scaling>
          <c:orientation val="minMax"/>
        </c:scaling>
        <c:delete val="1"/>
        <c:axPos val="b"/>
        <c:numFmt formatCode="General" sourceLinked="1"/>
        <c:majorTickMark val="cross"/>
        <c:minorTickMark val="none"/>
        <c:tickLblPos val="nextTo"/>
        <c:crossAx val="62570358"/>
        <c:crosses val="autoZero"/>
        <c:crossBetween val="midCat"/>
      </c:valAx>
      <c:valAx>
        <c:axId val="62570358"/>
        <c:scaling>
          <c:orientation val="minMax"/>
          <c:min val="1.8"/>
        </c:scaling>
        <c:delete val="0"/>
        <c:axPos val="r"/>
        <c:numFmt formatCode="General" sourceLinked="1"/>
        <c:majorTickMark val="cross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125" b="0" u="none" strike="noStrike">
                <a:solidFill>
                  <a:srgbClr val="000000"/>
                </a:solidFill>
                <a:uFillTx/>
                <a:latin typeface="Arial"/>
              </a:defRPr>
            </a:pPr>
            <a:endParaRPr lang="en-US"/>
          </a:p>
        </c:txPr>
        <c:crossAx val="13144744"/>
        <c:crosses val="max"/>
        <c:crossBetween val="midCat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plotVisOnly val="1"/>
    <c:dispBlanksAs val="gap"/>
    <c:showDLblsOverMax val="1"/>
  </c:chart>
  <c:spPr>
    <a:solidFill>
      <a:srgbClr val="FFFFFF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4654854189738"/>
          <c:y val="8.3135059482155396E-2"/>
          <c:w val="0.86415651531930604"/>
          <c:h val="0.77634709587123896"/>
        </c:manualLayout>
      </c:layout>
      <c:scatterChart>
        <c:scatterStyle val="lineMarker"/>
        <c:varyColors val="0"/>
        <c:ser>
          <c:idx val="0"/>
          <c:order val="0"/>
          <c:tx>
            <c:v>OBM</c:v>
          </c:tx>
          <c:spPr>
            <a:ln w="0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'Oil-Based Mud 1'!$H$188:$H$196</c:f>
              <c:numCache>
                <c:formatCode>General</c:formatCode>
                <c:ptCount val="9"/>
                <c:pt idx="0">
                  <c:v>300</c:v>
                </c:pt>
                <c:pt idx="1">
                  <c:v>320</c:v>
                </c:pt>
                <c:pt idx="2">
                  <c:v>350</c:v>
                </c:pt>
                <c:pt idx="3" formatCode="0.00">
                  <c:v>400</c:v>
                </c:pt>
                <c:pt idx="4" formatCode="0.00">
                  <c:v>450</c:v>
                </c:pt>
                <c:pt idx="5" formatCode="0.00">
                  <c:v>500</c:v>
                </c:pt>
                <c:pt idx="6">
                  <c:v>550</c:v>
                </c:pt>
                <c:pt idx="7" formatCode="0.00">
                  <c:v>600</c:v>
                </c:pt>
                <c:pt idx="8" formatCode="0.00">
                  <c:v>700</c:v>
                </c:pt>
              </c:numCache>
            </c:numRef>
          </c:xVal>
          <c:yVal>
            <c:numRef>
              <c:f>'Oil-Based Mud 1'!$I$188:$I$196</c:f>
              <c:numCache>
                <c:formatCode>General</c:formatCode>
                <c:ptCount val="9"/>
                <c:pt idx="0">
                  <c:v>1.3879999999999999</c:v>
                </c:pt>
                <c:pt idx="1">
                  <c:v>1.389</c:v>
                </c:pt>
                <c:pt idx="2">
                  <c:v>1.391</c:v>
                </c:pt>
                <c:pt idx="3" formatCode="0.00">
                  <c:v>1.393</c:v>
                </c:pt>
                <c:pt idx="4" formatCode="0.00">
                  <c:v>1.4</c:v>
                </c:pt>
                <c:pt idx="5" formatCode="0.00">
                  <c:v>1.403</c:v>
                </c:pt>
                <c:pt idx="6">
                  <c:v>1.44</c:v>
                </c:pt>
                <c:pt idx="7" formatCode="0.00">
                  <c:v>1.4530000000000001</c:v>
                </c:pt>
                <c:pt idx="8" formatCode="0.00">
                  <c:v>1.4830000000000001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0C-433C-81DA-503EB6F814BA}"/>
            </c:ext>
          </c:extLst>
        </c:ser>
        <c:ser>
          <c:idx val="1"/>
          <c:order val="1"/>
          <c:tx>
            <c:v>WBM</c:v>
          </c:tx>
          <c:spPr>
            <a:ln w="0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'Oil-Based Mud 1'!$H$188:$H$196</c:f>
              <c:numCache>
                <c:formatCode>General</c:formatCode>
                <c:ptCount val="9"/>
                <c:pt idx="0">
                  <c:v>300</c:v>
                </c:pt>
                <c:pt idx="1">
                  <c:v>320</c:v>
                </c:pt>
                <c:pt idx="2">
                  <c:v>350</c:v>
                </c:pt>
                <c:pt idx="3" formatCode="0.00">
                  <c:v>400</c:v>
                </c:pt>
                <c:pt idx="4" formatCode="0.00">
                  <c:v>450</c:v>
                </c:pt>
                <c:pt idx="5" formatCode="0.00">
                  <c:v>500</c:v>
                </c:pt>
                <c:pt idx="6">
                  <c:v>550</c:v>
                </c:pt>
                <c:pt idx="7" formatCode="0.00">
                  <c:v>600</c:v>
                </c:pt>
                <c:pt idx="8" formatCode="0.00">
                  <c:v>700</c:v>
                </c:pt>
              </c:numCache>
            </c:numRef>
          </c:xVal>
          <c:yVal>
            <c:numRef>
              <c:f>'Oil-Based Mud 1'!$K$188:$K$197</c:f>
              <c:numCache>
                <c:formatCode>0.00</c:formatCode>
                <c:ptCount val="10"/>
                <c:pt idx="0">
                  <c:v>1.57</c:v>
                </c:pt>
                <c:pt idx="1">
                  <c:v>1672.9</c:v>
                </c:pt>
                <c:pt idx="2">
                  <c:v>1.58</c:v>
                </c:pt>
                <c:pt idx="3">
                  <c:v>1.59</c:v>
                </c:pt>
                <c:pt idx="4">
                  <c:v>1.6020000000000001</c:v>
                </c:pt>
                <c:pt idx="5">
                  <c:v>1.615</c:v>
                </c:pt>
                <c:pt idx="6">
                  <c:v>1.6559999999999999</c:v>
                </c:pt>
                <c:pt idx="7">
                  <c:v>1.72</c:v>
                </c:pt>
                <c:pt idx="8">
                  <c:v>1.76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30C-433C-81DA-503EB6F814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189624"/>
        <c:axId val="40552758"/>
      </c:scatterChart>
      <c:valAx>
        <c:axId val="60189624"/>
        <c:scaling>
          <c:orientation val="minMax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95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Pump rate (gpm)</a:t>
                </a:r>
              </a:p>
            </c:rich>
          </c:tx>
          <c:layout>
            <c:manualLayout>
              <c:xMode val="edge"/>
              <c:yMode val="edge"/>
              <c:x val="0.43056478405315601"/>
              <c:y val="0.89783065080475899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950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40552758"/>
        <c:crosses val="autoZero"/>
        <c:crossBetween val="midCat"/>
      </c:valAx>
      <c:valAx>
        <c:axId val="40552758"/>
        <c:scaling>
          <c:orientation val="minMax"/>
          <c:max val="1.9"/>
          <c:min val="1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95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Damage factor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950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60189624"/>
        <c:crosses val="autoZero"/>
        <c:crossBetween val="midCat"/>
        <c:majorUnit val="0.3"/>
        <c:minorUnit val="0.1"/>
      </c:valAx>
      <c:spPr>
        <a:gradFill>
          <a:gsLst>
            <a:gs pos="0">
              <a:srgbClr val="D0D0D0"/>
            </a:gs>
            <a:gs pos="100000">
              <a:srgbClr val="FFFFFF"/>
            </a:gs>
          </a:gsLst>
          <a:lin ang="5400000"/>
        </a:gradFill>
        <a:ln w="12600">
          <a:solidFill>
            <a:srgbClr val="808080"/>
          </a:solidFill>
          <a:round/>
        </a:ln>
      </c:spPr>
    </c:plotArea>
    <c:legend>
      <c:legendPos val="r"/>
      <c:layout>
        <c:manualLayout>
          <c:xMode val="edge"/>
          <c:yMode val="edge"/>
          <c:x val="0.28180140273163501"/>
          <c:y val="1.8054583624912499E-2"/>
          <c:w val="0.34111045481393998"/>
          <c:h val="6.9008958566629294E-2"/>
        </c:manualLayout>
      </c:layout>
      <c:overlay val="0"/>
      <c:spPr>
        <a:solidFill>
          <a:srgbClr val="FFFFFF"/>
        </a:solidFill>
        <a:ln w="0">
          <a:solidFill>
            <a:srgbClr val="000000"/>
          </a:solidFill>
        </a:ln>
      </c:spPr>
      <c:txPr>
        <a:bodyPr/>
        <a:lstStyle/>
        <a:p>
          <a:pPr>
            <a:defRPr sz="1000" b="1" u="none" strike="noStrike">
              <a:solidFill>
                <a:srgbClr val="000000"/>
              </a:solidFill>
              <a:uFillTx/>
              <a:latin typeface="Times New Roman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CC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5518899326873301"/>
          <c:y val="7.78888034844991E-2"/>
          <c:w val="0.78445151268585001"/>
          <c:h val="0.77427619779656698"/>
        </c:manualLayout>
      </c:layout>
      <c:scatterChart>
        <c:scatterStyle val="lineMarker"/>
        <c:varyColors val="0"/>
        <c:ser>
          <c:idx val="0"/>
          <c:order val="0"/>
          <c:tx>
            <c:v>WBM</c:v>
          </c:tx>
          <c:spPr>
            <a:ln w="0">
              <a:solidFill>
                <a:srgbClr val="FF00FF"/>
              </a:solidFill>
            </a:ln>
          </c:spPr>
          <c:marker>
            <c:symbol val="square"/>
            <c:size val="3"/>
            <c:spPr>
              <a:solidFill>
                <a:srgbClr val="FF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'Oil-Based Mud 1'!$B$188:$B$196</c:f>
              <c:numCache>
                <c:formatCode>General</c:formatCode>
                <c:ptCount val="9"/>
                <c:pt idx="0" formatCode="0.0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 formatCode="0.00">
                  <c:v>40</c:v>
                </c:pt>
              </c:numCache>
            </c:numRef>
          </c:xVal>
          <c:yVal>
            <c:numRef>
              <c:f>'Oil-Based Mud 1'!$D$188:$D$196</c:f>
              <c:numCache>
                <c:formatCode>0.00</c:formatCode>
                <c:ptCount val="9"/>
                <c:pt idx="0">
                  <c:v>0</c:v>
                </c:pt>
                <c:pt idx="1">
                  <c:v>6.5956729354635701</c:v>
                </c:pt>
                <c:pt idx="2">
                  <c:v>9.7599822581302096</c:v>
                </c:pt>
                <c:pt idx="3">
                  <c:v>13.472731993104899</c:v>
                </c:pt>
                <c:pt idx="4">
                  <c:v>16.3637331021087</c:v>
                </c:pt>
                <c:pt idx="5">
                  <c:v>18.815658763807999</c:v>
                </c:pt>
                <c:pt idx="6">
                  <c:v>20.9829995090093</c:v>
                </c:pt>
                <c:pt idx="7">
                  <c:v>22.946536167232299</c:v>
                </c:pt>
                <c:pt idx="8">
                  <c:v>26.4397055473795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87-4770-AC87-D16B5E28F7E8}"/>
            </c:ext>
          </c:extLst>
        </c:ser>
        <c:ser>
          <c:idx val="1"/>
          <c:order val="1"/>
          <c:tx>
            <c:v>OBM</c:v>
          </c:tx>
          <c:spPr>
            <a:ln w="0">
              <a:solidFill>
                <a:srgbClr val="0000FF"/>
              </a:solidFill>
            </a:ln>
          </c:spPr>
          <c:marker>
            <c:symbol val="triangle"/>
            <c:size val="3"/>
            <c:spPr>
              <a:solidFill>
                <a:srgbClr val="00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'Oil-Based Mud 1'!$B$188:$B$196</c:f>
              <c:numCache>
                <c:formatCode>General</c:formatCode>
                <c:ptCount val="9"/>
                <c:pt idx="0" formatCode="0.0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 formatCode="0.00">
                  <c:v>40</c:v>
                </c:pt>
              </c:numCache>
            </c:numRef>
          </c:xVal>
          <c:yVal>
            <c:numRef>
              <c:f>'Oil-Based Mud 1'!$E$188:$E$196</c:f>
              <c:numCache>
                <c:formatCode>General</c:formatCode>
                <c:ptCount val="9"/>
                <c:pt idx="0" formatCode="0.00">
                  <c:v>0</c:v>
                </c:pt>
                <c:pt idx="1">
                  <c:v>17.8601482318082</c:v>
                </c:pt>
                <c:pt idx="2">
                  <c:v>27.755512734507398</c:v>
                </c:pt>
                <c:pt idx="3">
                  <c:v>39.021461714174698</c:v>
                </c:pt>
                <c:pt idx="4">
                  <c:v>47.696755250920397</c:v>
                </c:pt>
                <c:pt idx="5">
                  <c:v>55.020781970284702</c:v>
                </c:pt>
                <c:pt idx="6">
                  <c:v>61.478389990117698</c:v>
                </c:pt>
                <c:pt idx="7">
                  <c:v>67.319376281516497</c:v>
                </c:pt>
                <c:pt idx="8">
                  <c:v>77.694983089278097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987-4770-AC87-D16B5E28F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25045"/>
        <c:axId val="6860604"/>
      </c:scatterChart>
      <c:valAx>
        <c:axId val="93525045"/>
        <c:scaling>
          <c:orientation val="minMax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115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Drilling Time (hours)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150" b="0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6860604"/>
        <c:crosses val="autoZero"/>
        <c:crossBetween val="midCat"/>
      </c:valAx>
      <c:valAx>
        <c:axId val="6860604"/>
        <c:scaling>
          <c:orientation val="minMax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115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Depth of invasion (inch)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150" b="0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93525045"/>
        <c:crosses val="autoZero"/>
        <c:crossBetween val="midCat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legendPos val="r"/>
      <c:layout>
        <c:manualLayout>
          <c:xMode val="edge"/>
          <c:yMode val="edge"/>
          <c:x val="0.32694725941267799"/>
          <c:y val="1.7166282346912601E-2"/>
          <c:w val="0.29479212901316798"/>
          <c:h val="9.0326713645099296E-2"/>
        </c:manualLayout>
      </c:layout>
      <c:overlay val="0"/>
      <c:spPr>
        <a:solidFill>
          <a:srgbClr val="FFFFFF"/>
        </a:solidFill>
        <a:ln w="0">
          <a:solidFill>
            <a:srgbClr val="000000"/>
          </a:solidFill>
        </a:ln>
      </c:spPr>
      <c:txPr>
        <a:bodyPr/>
        <a:lstStyle/>
        <a:p>
          <a:pPr>
            <a:defRPr sz="1100" b="0" u="none" strike="noStrike">
              <a:solidFill>
                <a:srgbClr val="000000"/>
              </a:solidFill>
              <a:uFillTx/>
              <a:latin typeface="Times New Roman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28131710808876"/>
          <c:y val="6.3901086202912002E-2"/>
          <c:w val="0.85089477451682205"/>
          <c:h val="0.83117633464294005"/>
        </c:manualLayout>
      </c:layout>
      <c:scatterChart>
        <c:scatterStyle val="lineMarker"/>
        <c:varyColors val="0"/>
        <c:ser>
          <c:idx val="0"/>
          <c:order val="0"/>
          <c:spPr>
            <a:ln w="0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'Oil-Based Mud 1'!$AV$16:$AV$69</c:f>
              <c:numCache>
                <c:formatCode>0.00</c:formatCode>
                <c:ptCount val="54"/>
                <c:pt idx="0" formatCode="General">
                  <c:v>0</c:v>
                </c:pt>
                <c:pt idx="1">
                  <c:v>1</c:v>
                </c:pt>
                <c:pt idx="2" formatCode="General">
                  <c:v>2</c:v>
                </c:pt>
                <c:pt idx="3" formatCode="General">
                  <c:v>5</c:v>
                </c:pt>
                <c:pt idx="4" formatCode="General">
                  <c:v>10</c:v>
                </c:pt>
                <c:pt idx="5" formatCode="General">
                  <c:v>20</c:v>
                </c:pt>
                <c:pt idx="6" formatCode="General">
                  <c:v>30</c:v>
                </c:pt>
                <c:pt idx="7" formatCode="General">
                  <c:v>35</c:v>
                </c:pt>
                <c:pt idx="8" formatCode="General">
                  <c:v>45</c:v>
                </c:pt>
                <c:pt idx="9" formatCode="General">
                  <c:v>55</c:v>
                </c:pt>
                <c:pt idx="10" formatCode="General">
                  <c:v>65</c:v>
                </c:pt>
                <c:pt idx="11" formatCode="General">
                  <c:v>75</c:v>
                </c:pt>
                <c:pt idx="12" formatCode="General">
                  <c:v>85</c:v>
                </c:pt>
                <c:pt idx="13" formatCode="General">
                  <c:v>95</c:v>
                </c:pt>
                <c:pt idx="14" formatCode="General">
                  <c:v>105</c:v>
                </c:pt>
                <c:pt idx="15" formatCode="General">
                  <c:v>115</c:v>
                </c:pt>
                <c:pt idx="16" formatCode="General">
                  <c:v>125</c:v>
                </c:pt>
                <c:pt idx="17" formatCode="General">
                  <c:v>135</c:v>
                </c:pt>
                <c:pt idx="18" formatCode="General">
                  <c:v>145</c:v>
                </c:pt>
                <c:pt idx="19" formatCode="General">
                  <c:v>155</c:v>
                </c:pt>
                <c:pt idx="20" formatCode="General">
                  <c:v>165</c:v>
                </c:pt>
                <c:pt idx="21" formatCode="General">
                  <c:v>175</c:v>
                </c:pt>
                <c:pt idx="22" formatCode="General">
                  <c:v>185</c:v>
                </c:pt>
                <c:pt idx="23" formatCode="General">
                  <c:v>195</c:v>
                </c:pt>
                <c:pt idx="24" formatCode="General">
                  <c:v>205</c:v>
                </c:pt>
                <c:pt idx="25" formatCode="General">
                  <c:v>215</c:v>
                </c:pt>
                <c:pt idx="26" formatCode="General">
                  <c:v>225</c:v>
                </c:pt>
                <c:pt idx="27" formatCode="General">
                  <c:v>255</c:v>
                </c:pt>
                <c:pt idx="28" formatCode="General">
                  <c:v>285</c:v>
                </c:pt>
                <c:pt idx="29" formatCode="General">
                  <c:v>385</c:v>
                </c:pt>
                <c:pt idx="30" formatCode="General">
                  <c:v>485</c:v>
                </c:pt>
                <c:pt idx="31" formatCode="General">
                  <c:v>585</c:v>
                </c:pt>
                <c:pt idx="32" formatCode="General">
                  <c:v>685</c:v>
                </c:pt>
                <c:pt idx="33" formatCode="General">
                  <c:v>785</c:v>
                </c:pt>
                <c:pt idx="34" formatCode="General">
                  <c:v>885</c:v>
                </c:pt>
                <c:pt idx="35" formatCode="General">
                  <c:v>985</c:v>
                </c:pt>
                <c:pt idx="36" formatCode="General">
                  <c:v>1085</c:v>
                </c:pt>
                <c:pt idx="37" formatCode="General">
                  <c:v>1185</c:v>
                </c:pt>
                <c:pt idx="38" formatCode="General">
                  <c:v>1285</c:v>
                </c:pt>
                <c:pt idx="39" formatCode="General">
                  <c:v>1385</c:v>
                </c:pt>
                <c:pt idx="40" formatCode="General">
                  <c:v>1485</c:v>
                </c:pt>
                <c:pt idx="41" formatCode="General">
                  <c:v>1585</c:v>
                </c:pt>
                <c:pt idx="42" formatCode="General">
                  <c:v>1685</c:v>
                </c:pt>
                <c:pt idx="43" formatCode="General">
                  <c:v>1785</c:v>
                </c:pt>
                <c:pt idx="44" formatCode="General">
                  <c:v>1885</c:v>
                </c:pt>
                <c:pt idx="45" formatCode="General">
                  <c:v>1985</c:v>
                </c:pt>
                <c:pt idx="46" formatCode="General">
                  <c:v>2085</c:v>
                </c:pt>
                <c:pt idx="47" formatCode="General">
                  <c:v>2585</c:v>
                </c:pt>
                <c:pt idx="48" formatCode="General">
                  <c:v>2785</c:v>
                </c:pt>
                <c:pt idx="49" formatCode="General">
                  <c:v>2985</c:v>
                </c:pt>
                <c:pt idx="50" formatCode="General">
                  <c:v>3185</c:v>
                </c:pt>
                <c:pt idx="51" formatCode="General">
                  <c:v>3385</c:v>
                </c:pt>
                <c:pt idx="52" formatCode="General">
                  <c:v>3585</c:v>
                </c:pt>
                <c:pt idx="53" formatCode="General">
                  <c:v>3420</c:v>
                </c:pt>
              </c:numCache>
            </c:numRef>
          </c:xVal>
          <c:yVal>
            <c:numRef>
              <c:f>'Oil-Based Mud 1'!$AQ$16:$AQ$69</c:f>
              <c:numCache>
                <c:formatCode>0</c:formatCode>
                <c:ptCount val="54"/>
                <c:pt idx="0" formatCode="General">
                  <c:v>0</c:v>
                </c:pt>
                <c:pt idx="1">
                  <c:v>102.81833081166801</c:v>
                </c:pt>
                <c:pt idx="2">
                  <c:v>120.244553011541</c:v>
                </c:pt>
                <c:pt idx="3">
                  <c:v>144.32846898996601</c:v>
                </c:pt>
                <c:pt idx="4">
                  <c:v>160.189070033989</c:v>
                </c:pt>
                <c:pt idx="5">
                  <c:v>172.836228382212</c:v>
                </c:pt>
                <c:pt idx="6">
                  <c:v>178.76130610794499</c:v>
                </c:pt>
                <c:pt idx="7">
                  <c:v>180.75393683985101</c:v>
                </c:pt>
                <c:pt idx="8">
                  <c:v>183.72053557895899</c:v>
                </c:pt>
                <c:pt idx="9">
                  <c:v>185.85572896676601</c:v>
                </c:pt>
                <c:pt idx="10">
                  <c:v>187.48705537250399</c:v>
                </c:pt>
                <c:pt idx="11">
                  <c:v>188.78587827050501</c:v>
                </c:pt>
                <c:pt idx="12">
                  <c:v>189.851697575343</c:v>
                </c:pt>
                <c:pt idx="13">
                  <c:v>190.74676721969999</c:v>
                </c:pt>
                <c:pt idx="14">
                  <c:v>191.51229521606299</c:v>
                </c:pt>
                <c:pt idx="15">
                  <c:v>192.17678828273301</c:v>
                </c:pt>
                <c:pt idx="16">
                  <c:v>192.76067907337901</c:v>
                </c:pt>
                <c:pt idx="17">
                  <c:v>193.27904691491901</c:v>
                </c:pt>
                <c:pt idx="18">
                  <c:v>193.74329585194999</c:v>
                </c:pt>
                <c:pt idx="19">
                  <c:v>194.16223156683</c:v>
                </c:pt>
                <c:pt idx="20">
                  <c:v>194.54277614282</c:v>
                </c:pt>
                <c:pt idx="21">
                  <c:v>194.89045632844099</c:v>
                </c:pt>
                <c:pt idx="22">
                  <c:v>195.209745516156</c:v>
                </c:pt>
                <c:pt idx="23">
                  <c:v>195.504308561382</c:v>
                </c:pt>
                <c:pt idx="24">
                  <c:v>195.77718046548199</c:v>
                </c:pt>
                <c:pt idx="25">
                  <c:v>196.03089905058599</c:v>
                </c:pt>
                <c:pt idx="26">
                  <c:v>196.26760500152201</c:v>
                </c:pt>
                <c:pt idx="27">
                  <c:v>196.892586666716</c:v>
                </c:pt>
                <c:pt idx="28">
                  <c:v>197.41654171596599</c:v>
                </c:pt>
                <c:pt idx="29">
                  <c:v>198.697305334996</c:v>
                </c:pt>
                <c:pt idx="30">
                  <c:v>199.55905708832</c:v>
                </c:pt>
                <c:pt idx="31">
                  <c:v>200.18960235563</c:v>
                </c:pt>
                <c:pt idx="32">
                  <c:v>200.67672401565801</c:v>
                </c:pt>
                <c:pt idx="33">
                  <c:v>201.06766817871301</c:v>
                </c:pt>
                <c:pt idx="34">
                  <c:v>201.39041802317499</c:v>
                </c:pt>
                <c:pt idx="35">
                  <c:v>201.66274193872599</c:v>
                </c:pt>
                <c:pt idx="36">
                  <c:v>201.89653641544999</c:v>
                </c:pt>
                <c:pt idx="37">
                  <c:v>202.100106396451</c:v>
                </c:pt>
                <c:pt idx="38">
                  <c:v>202.27944899265901</c:v>
                </c:pt>
                <c:pt idx="39">
                  <c:v>202.43901755100401</c:v>
                </c:pt>
                <c:pt idx="40">
                  <c:v>202.58219767618999</c:v>
                </c:pt>
                <c:pt idx="41">
                  <c:v>202.711615328509</c:v>
                </c:pt>
                <c:pt idx="42">
                  <c:v>202.823707030462</c:v>
                </c:pt>
                <c:pt idx="43">
                  <c:v>202.937040279255</c:v>
                </c:pt>
                <c:pt idx="44">
                  <c:v>203.03605559747501</c:v>
                </c:pt>
                <c:pt idx="45">
                  <c:v>203.12749591251901</c:v>
                </c:pt>
                <c:pt idx="46">
                  <c:v>203.212280299295</c:v>
                </c:pt>
                <c:pt idx="47">
                  <c:v>203.55958856120401</c:v>
                </c:pt>
                <c:pt idx="48">
                  <c:v>203.67155443713099</c:v>
                </c:pt>
                <c:pt idx="49">
                  <c:v>203.772074798387</c:v>
                </c:pt>
                <c:pt idx="50">
                  <c:v>203.862975538299</c:v>
                </c:pt>
                <c:pt idx="51">
                  <c:v>203.945699157728</c:v>
                </c:pt>
                <c:pt idx="52">
                  <c:v>204.02140242374</c:v>
                </c:pt>
                <c:pt idx="53">
                  <c:v>203.95942495962501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F1-49A7-8E70-C8C8E3D1514C}"/>
            </c:ext>
          </c:extLst>
        </c:ser>
        <c:ser>
          <c:idx val="1"/>
          <c:order val="1"/>
          <c:spPr>
            <a:ln w="0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'Oil-Based Mud 1'!$AV$16:$AV$69</c:f>
              <c:numCache>
                <c:formatCode>0.00</c:formatCode>
                <c:ptCount val="54"/>
                <c:pt idx="0" formatCode="General">
                  <c:v>0</c:v>
                </c:pt>
                <c:pt idx="1">
                  <c:v>1</c:v>
                </c:pt>
                <c:pt idx="2" formatCode="General">
                  <c:v>2</c:v>
                </c:pt>
                <c:pt idx="3" formatCode="General">
                  <c:v>5</c:v>
                </c:pt>
                <c:pt idx="4" formatCode="General">
                  <c:v>10</c:v>
                </c:pt>
                <c:pt idx="5" formatCode="General">
                  <c:v>20</c:v>
                </c:pt>
                <c:pt idx="6" formatCode="General">
                  <c:v>30</c:v>
                </c:pt>
                <c:pt idx="7" formatCode="General">
                  <c:v>35</c:v>
                </c:pt>
                <c:pt idx="8" formatCode="General">
                  <c:v>45</c:v>
                </c:pt>
                <c:pt idx="9" formatCode="General">
                  <c:v>55</c:v>
                </c:pt>
                <c:pt idx="10" formatCode="General">
                  <c:v>65</c:v>
                </c:pt>
                <c:pt idx="11" formatCode="General">
                  <c:v>75</c:v>
                </c:pt>
                <c:pt idx="12" formatCode="General">
                  <c:v>85</c:v>
                </c:pt>
                <c:pt idx="13" formatCode="General">
                  <c:v>95</c:v>
                </c:pt>
                <c:pt idx="14" formatCode="General">
                  <c:v>105</c:v>
                </c:pt>
                <c:pt idx="15" formatCode="General">
                  <c:v>115</c:v>
                </c:pt>
                <c:pt idx="16" formatCode="General">
                  <c:v>125</c:v>
                </c:pt>
                <c:pt idx="17" formatCode="General">
                  <c:v>135</c:v>
                </c:pt>
                <c:pt idx="18" formatCode="General">
                  <c:v>145</c:v>
                </c:pt>
                <c:pt idx="19" formatCode="General">
                  <c:v>155</c:v>
                </c:pt>
                <c:pt idx="20" formatCode="General">
                  <c:v>165</c:v>
                </c:pt>
                <c:pt idx="21" formatCode="General">
                  <c:v>175</c:v>
                </c:pt>
                <c:pt idx="22" formatCode="General">
                  <c:v>185</c:v>
                </c:pt>
                <c:pt idx="23" formatCode="General">
                  <c:v>195</c:v>
                </c:pt>
                <c:pt idx="24" formatCode="General">
                  <c:v>205</c:v>
                </c:pt>
                <c:pt idx="25" formatCode="General">
                  <c:v>215</c:v>
                </c:pt>
                <c:pt idx="26" formatCode="General">
                  <c:v>225</c:v>
                </c:pt>
                <c:pt idx="27" formatCode="General">
                  <c:v>255</c:v>
                </c:pt>
                <c:pt idx="28" formatCode="General">
                  <c:v>285</c:v>
                </c:pt>
                <c:pt idx="29" formatCode="General">
                  <c:v>385</c:v>
                </c:pt>
                <c:pt idx="30" formatCode="General">
                  <c:v>485</c:v>
                </c:pt>
                <c:pt idx="31" formatCode="General">
                  <c:v>585</c:v>
                </c:pt>
                <c:pt idx="32" formatCode="General">
                  <c:v>685</c:v>
                </c:pt>
                <c:pt idx="33" formatCode="General">
                  <c:v>785</c:v>
                </c:pt>
                <c:pt idx="34" formatCode="General">
                  <c:v>885</c:v>
                </c:pt>
                <c:pt idx="35" formatCode="General">
                  <c:v>985</c:v>
                </c:pt>
                <c:pt idx="36" formatCode="General">
                  <c:v>1085</c:v>
                </c:pt>
                <c:pt idx="37" formatCode="General">
                  <c:v>1185</c:v>
                </c:pt>
                <c:pt idx="38" formatCode="General">
                  <c:v>1285</c:v>
                </c:pt>
                <c:pt idx="39" formatCode="General">
                  <c:v>1385</c:v>
                </c:pt>
                <c:pt idx="40" formatCode="General">
                  <c:v>1485</c:v>
                </c:pt>
                <c:pt idx="41" formatCode="General">
                  <c:v>1585</c:v>
                </c:pt>
                <c:pt idx="42" formatCode="General">
                  <c:v>1685</c:v>
                </c:pt>
                <c:pt idx="43" formatCode="General">
                  <c:v>1785</c:v>
                </c:pt>
                <c:pt idx="44" formatCode="General">
                  <c:v>1885</c:v>
                </c:pt>
                <c:pt idx="45" formatCode="General">
                  <c:v>1985</c:v>
                </c:pt>
                <c:pt idx="46" formatCode="General">
                  <c:v>2085</c:v>
                </c:pt>
                <c:pt idx="47" formatCode="General">
                  <c:v>2585</c:v>
                </c:pt>
                <c:pt idx="48" formatCode="General">
                  <c:v>2785</c:v>
                </c:pt>
                <c:pt idx="49" formatCode="General">
                  <c:v>2985</c:v>
                </c:pt>
                <c:pt idx="50" formatCode="General">
                  <c:v>3185</c:v>
                </c:pt>
                <c:pt idx="51" formatCode="General">
                  <c:v>3385</c:v>
                </c:pt>
                <c:pt idx="52" formatCode="General">
                  <c:v>3585</c:v>
                </c:pt>
                <c:pt idx="53" formatCode="General">
                  <c:v>3420</c:v>
                </c:pt>
              </c:numCache>
            </c:numRef>
          </c:xVal>
          <c:yVal>
            <c:numRef>
              <c:f>'Oil-Based Mud 1'!$AR$16:$AR$69</c:f>
              <c:numCache>
                <c:formatCode>General</c:formatCode>
                <c:ptCount val="54"/>
                <c:pt idx="0" formatCode="0">
                  <c:v>206.62221389611901</c:v>
                </c:pt>
                <c:pt idx="1">
                  <c:v>103.80388308445001</c:v>
                </c:pt>
                <c:pt idx="2">
                  <c:v>86.377660884578106</c:v>
                </c:pt>
                <c:pt idx="3">
                  <c:v>62.293744906152597</c:v>
                </c:pt>
                <c:pt idx="4">
                  <c:v>46.433143862129903</c:v>
                </c:pt>
                <c:pt idx="5">
                  <c:v>33.785985513906603</c:v>
                </c:pt>
                <c:pt idx="6">
                  <c:v>27.860907788174099</c:v>
                </c:pt>
                <c:pt idx="7">
                  <c:v>25.868277056267399</c:v>
                </c:pt>
                <c:pt idx="8">
                  <c:v>22.901678317160101</c:v>
                </c:pt>
                <c:pt idx="9">
                  <c:v>20.766484929352401</c:v>
                </c:pt>
                <c:pt idx="10">
                  <c:v>19.135158523614699</c:v>
                </c:pt>
                <c:pt idx="11">
                  <c:v>17.836335625613302</c:v>
                </c:pt>
                <c:pt idx="12">
                  <c:v>16.770516320776</c:v>
                </c:pt>
                <c:pt idx="13">
                  <c:v>15.875446676418999</c:v>
                </c:pt>
                <c:pt idx="14">
                  <c:v>15.109918680055401</c:v>
                </c:pt>
                <c:pt idx="15">
                  <c:v>14.4454256133853</c:v>
                </c:pt>
                <c:pt idx="16">
                  <c:v>13.8615348227395</c:v>
                </c:pt>
                <c:pt idx="17">
                  <c:v>13.3431669812</c:v>
                </c:pt>
                <c:pt idx="18">
                  <c:v>12.878918044168399</c:v>
                </c:pt>
                <c:pt idx="19">
                  <c:v>12.4599823292883</c:v>
                </c:pt>
                <c:pt idx="20">
                  <c:v>12.0794377532984</c:v>
                </c:pt>
                <c:pt idx="21">
                  <c:v>11.731757567677899</c:v>
                </c:pt>
                <c:pt idx="22">
                  <c:v>11.412468379962499</c:v>
                </c:pt>
                <c:pt idx="23">
                  <c:v>11.1179053347366</c:v>
                </c:pt>
                <c:pt idx="24">
                  <c:v>10.8450334306365</c:v>
                </c:pt>
                <c:pt idx="25">
                  <c:v>10.5913148455324</c:v>
                </c:pt>
                <c:pt idx="26">
                  <c:v>10.3546088945966</c:v>
                </c:pt>
                <c:pt idx="27">
                  <c:v>9.7296272294024604</c:v>
                </c:pt>
                <c:pt idx="28">
                  <c:v>9.2056721801527193</c:v>
                </c:pt>
                <c:pt idx="29">
                  <c:v>7.9249085611227201</c:v>
                </c:pt>
                <c:pt idx="30">
                  <c:v>7.0631568077991203</c:v>
                </c:pt>
                <c:pt idx="31">
                  <c:v>6.4326115404888604</c:v>
                </c:pt>
                <c:pt idx="32">
                  <c:v>5.9454898804604301</c:v>
                </c:pt>
                <c:pt idx="33">
                  <c:v>5.5545457174052304</c:v>
                </c:pt>
                <c:pt idx="34">
                  <c:v>5.2317958729438399</c:v>
                </c:pt>
                <c:pt idx="35">
                  <c:v>4.9594719573927302</c:v>
                </c:pt>
                <c:pt idx="36">
                  <c:v>4.7256774806681996</c:v>
                </c:pt>
                <c:pt idx="37">
                  <c:v>4.5221074996673298</c:v>
                </c:pt>
                <c:pt idx="38">
                  <c:v>4.3427649034598703</c:v>
                </c:pt>
                <c:pt idx="39">
                  <c:v>4.1831963451143199</c:v>
                </c:pt>
                <c:pt idx="40">
                  <c:v>4.0400162199281597</c:v>
                </c:pt>
                <c:pt idx="41">
                  <c:v>3.9105985676091599</c:v>
                </c:pt>
                <c:pt idx="42">
                  <c:v>3.7985068656563099</c:v>
                </c:pt>
                <c:pt idx="43">
                  <c:v>3.6851736168636999</c:v>
                </c:pt>
                <c:pt idx="44">
                  <c:v>3.5861582986434501</c:v>
                </c:pt>
                <c:pt idx="45">
                  <c:v>3.4947179835992301</c:v>
                </c:pt>
                <c:pt idx="46">
                  <c:v>3.4099335968239299</c:v>
                </c:pt>
                <c:pt idx="47">
                  <c:v>3.06262533491459</c:v>
                </c:pt>
                <c:pt idx="48">
                  <c:v>2.9506594589872299</c:v>
                </c:pt>
                <c:pt idx="49">
                  <c:v>2.8501390977320802</c:v>
                </c:pt>
                <c:pt idx="50">
                  <c:v>2.7592383578193602</c:v>
                </c:pt>
                <c:pt idx="51">
                  <c:v>2.67651473839042</c:v>
                </c:pt>
                <c:pt idx="52">
                  <c:v>2.6008114723782501</c:v>
                </c:pt>
                <c:pt idx="53">
                  <c:v>2.6627889364936799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F1-49A7-8E70-C8C8E3D1514C}"/>
            </c:ext>
          </c:extLst>
        </c:ser>
        <c:ser>
          <c:idx val="2"/>
          <c:order val="2"/>
          <c:spPr>
            <a:ln w="0">
              <a:solidFill>
                <a:srgbClr val="FFFF00"/>
              </a:solidFill>
            </a:ln>
          </c:spPr>
          <c:marker>
            <c:symbol val="triangle"/>
            <c:size val="3"/>
            <c:spPr>
              <a:solidFill>
                <a:srgbClr val="FFFF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'Oil-Based Mud 1'!$AV$16:$AV$70</c:f>
              <c:numCache>
                <c:formatCode>0.00</c:formatCode>
                <c:ptCount val="55"/>
                <c:pt idx="0" formatCode="General">
                  <c:v>0</c:v>
                </c:pt>
                <c:pt idx="1">
                  <c:v>1</c:v>
                </c:pt>
                <c:pt idx="2" formatCode="General">
                  <c:v>2</c:v>
                </c:pt>
                <c:pt idx="3" formatCode="General">
                  <c:v>5</c:v>
                </c:pt>
                <c:pt idx="4" formatCode="General">
                  <c:v>10</c:v>
                </c:pt>
                <c:pt idx="5" formatCode="General">
                  <c:v>20</c:v>
                </c:pt>
                <c:pt idx="6" formatCode="General">
                  <c:v>30</c:v>
                </c:pt>
                <c:pt idx="7" formatCode="General">
                  <c:v>35</c:v>
                </c:pt>
                <c:pt idx="8" formatCode="General">
                  <c:v>45</c:v>
                </c:pt>
                <c:pt idx="9" formatCode="General">
                  <c:v>55</c:v>
                </c:pt>
                <c:pt idx="10" formatCode="General">
                  <c:v>65</c:v>
                </c:pt>
                <c:pt idx="11" formatCode="General">
                  <c:v>75</c:v>
                </c:pt>
                <c:pt idx="12" formatCode="General">
                  <c:v>85</c:v>
                </c:pt>
                <c:pt idx="13" formatCode="General">
                  <c:v>95</c:v>
                </c:pt>
                <c:pt idx="14" formatCode="General">
                  <c:v>105</c:v>
                </c:pt>
                <c:pt idx="15" formatCode="General">
                  <c:v>115</c:v>
                </c:pt>
                <c:pt idx="16" formatCode="General">
                  <c:v>125</c:v>
                </c:pt>
                <c:pt idx="17" formatCode="General">
                  <c:v>135</c:v>
                </c:pt>
                <c:pt idx="18" formatCode="General">
                  <c:v>145</c:v>
                </c:pt>
                <c:pt idx="19" formatCode="General">
                  <c:v>155</c:v>
                </c:pt>
                <c:pt idx="20" formatCode="General">
                  <c:v>165</c:v>
                </c:pt>
                <c:pt idx="21" formatCode="General">
                  <c:v>175</c:v>
                </c:pt>
                <c:pt idx="22" formatCode="General">
                  <c:v>185</c:v>
                </c:pt>
                <c:pt idx="23" formatCode="General">
                  <c:v>195</c:v>
                </c:pt>
                <c:pt idx="24" formatCode="General">
                  <c:v>205</c:v>
                </c:pt>
                <c:pt idx="25" formatCode="General">
                  <c:v>215</c:v>
                </c:pt>
                <c:pt idx="26" formatCode="General">
                  <c:v>225</c:v>
                </c:pt>
                <c:pt idx="27" formatCode="General">
                  <c:v>255</c:v>
                </c:pt>
                <c:pt idx="28" formatCode="General">
                  <c:v>285</c:v>
                </c:pt>
                <c:pt idx="29" formatCode="General">
                  <c:v>385</c:v>
                </c:pt>
                <c:pt idx="30" formatCode="General">
                  <c:v>485</c:v>
                </c:pt>
                <c:pt idx="31" formatCode="General">
                  <c:v>585</c:v>
                </c:pt>
                <c:pt idx="32" formatCode="General">
                  <c:v>685</c:v>
                </c:pt>
                <c:pt idx="33" formatCode="General">
                  <c:v>785</c:v>
                </c:pt>
                <c:pt idx="34" formatCode="General">
                  <c:v>885</c:v>
                </c:pt>
                <c:pt idx="35" formatCode="General">
                  <c:v>985</c:v>
                </c:pt>
                <c:pt idx="36" formatCode="General">
                  <c:v>1085</c:v>
                </c:pt>
                <c:pt idx="37" formatCode="General">
                  <c:v>1185</c:v>
                </c:pt>
                <c:pt idx="38" formatCode="General">
                  <c:v>1285</c:v>
                </c:pt>
                <c:pt idx="39" formatCode="General">
                  <c:v>1385</c:v>
                </c:pt>
                <c:pt idx="40" formatCode="General">
                  <c:v>1485</c:v>
                </c:pt>
                <c:pt idx="41" formatCode="General">
                  <c:v>1585</c:v>
                </c:pt>
                <c:pt idx="42" formatCode="General">
                  <c:v>1685</c:v>
                </c:pt>
                <c:pt idx="43" formatCode="General">
                  <c:v>1785</c:v>
                </c:pt>
                <c:pt idx="44" formatCode="General">
                  <c:v>1885</c:v>
                </c:pt>
                <c:pt idx="45" formatCode="General">
                  <c:v>1985</c:v>
                </c:pt>
                <c:pt idx="46" formatCode="General">
                  <c:v>2085</c:v>
                </c:pt>
                <c:pt idx="47" formatCode="General">
                  <c:v>2585</c:v>
                </c:pt>
                <c:pt idx="48" formatCode="General">
                  <c:v>2785</c:v>
                </c:pt>
                <c:pt idx="49" formatCode="General">
                  <c:v>2985</c:v>
                </c:pt>
                <c:pt idx="50" formatCode="General">
                  <c:v>3185</c:v>
                </c:pt>
                <c:pt idx="51" formatCode="General">
                  <c:v>3385</c:v>
                </c:pt>
                <c:pt idx="52" formatCode="General">
                  <c:v>3585</c:v>
                </c:pt>
                <c:pt idx="53" formatCode="General">
                  <c:v>3420</c:v>
                </c:pt>
                <c:pt idx="54">
                  <c:v>3420</c:v>
                </c:pt>
              </c:numCache>
            </c:numRef>
          </c:xVal>
          <c:yVal>
            <c:numRef>
              <c:f>'Oil-Based Mud 1'!$AY$16:$AY$70</c:f>
              <c:numCache>
                <c:formatCode>0.00</c:formatCode>
                <c:ptCount val="55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AF1-49A7-8E70-C8C8E3D1514C}"/>
            </c:ext>
          </c:extLst>
        </c:ser>
        <c:ser>
          <c:idx val="3"/>
          <c:order val="3"/>
          <c:spPr>
            <a:ln w="0">
              <a:solidFill>
                <a:srgbClr val="00FFFF"/>
              </a:solidFill>
            </a:ln>
          </c:spPr>
          <c:marker>
            <c:symbol val="x"/>
            <c:size val="3"/>
            <c:spPr>
              <a:solidFill>
                <a:srgbClr val="00FF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'Oil-Based Mud 1'!$AV$16:$AV$70</c:f>
              <c:numCache>
                <c:formatCode>0.00</c:formatCode>
                <c:ptCount val="55"/>
                <c:pt idx="0" formatCode="General">
                  <c:v>0</c:v>
                </c:pt>
                <c:pt idx="1">
                  <c:v>1</c:v>
                </c:pt>
                <c:pt idx="2" formatCode="General">
                  <c:v>2</c:v>
                </c:pt>
                <c:pt idx="3" formatCode="General">
                  <c:v>5</c:v>
                </c:pt>
                <c:pt idx="4" formatCode="General">
                  <c:v>10</c:v>
                </c:pt>
                <c:pt idx="5" formatCode="General">
                  <c:v>20</c:v>
                </c:pt>
                <c:pt idx="6" formatCode="General">
                  <c:v>30</c:v>
                </c:pt>
                <c:pt idx="7" formatCode="General">
                  <c:v>35</c:v>
                </c:pt>
                <c:pt idx="8" formatCode="General">
                  <c:v>45</c:v>
                </c:pt>
                <c:pt idx="9" formatCode="General">
                  <c:v>55</c:v>
                </c:pt>
                <c:pt idx="10" formatCode="General">
                  <c:v>65</c:v>
                </c:pt>
                <c:pt idx="11" formatCode="General">
                  <c:v>75</c:v>
                </c:pt>
                <c:pt idx="12" formatCode="General">
                  <c:v>85</c:v>
                </c:pt>
                <c:pt idx="13" formatCode="General">
                  <c:v>95</c:v>
                </c:pt>
                <c:pt idx="14" formatCode="General">
                  <c:v>105</c:v>
                </c:pt>
                <c:pt idx="15" formatCode="General">
                  <c:v>115</c:v>
                </c:pt>
                <c:pt idx="16" formatCode="General">
                  <c:v>125</c:v>
                </c:pt>
                <c:pt idx="17" formatCode="General">
                  <c:v>135</c:v>
                </c:pt>
                <c:pt idx="18" formatCode="General">
                  <c:v>145</c:v>
                </c:pt>
                <c:pt idx="19" formatCode="General">
                  <c:v>155</c:v>
                </c:pt>
                <c:pt idx="20" formatCode="General">
                  <c:v>165</c:v>
                </c:pt>
                <c:pt idx="21" formatCode="General">
                  <c:v>175</c:v>
                </c:pt>
                <c:pt idx="22" formatCode="General">
                  <c:v>185</c:v>
                </c:pt>
                <c:pt idx="23" formatCode="General">
                  <c:v>195</c:v>
                </c:pt>
                <c:pt idx="24" formatCode="General">
                  <c:v>205</c:v>
                </c:pt>
                <c:pt idx="25" formatCode="General">
                  <c:v>215</c:v>
                </c:pt>
                <c:pt idx="26" formatCode="General">
                  <c:v>225</c:v>
                </c:pt>
                <c:pt idx="27" formatCode="General">
                  <c:v>255</c:v>
                </c:pt>
                <c:pt idx="28" formatCode="General">
                  <c:v>285</c:v>
                </c:pt>
                <c:pt idx="29" formatCode="General">
                  <c:v>385</c:v>
                </c:pt>
                <c:pt idx="30" formatCode="General">
                  <c:v>485</c:v>
                </c:pt>
                <c:pt idx="31" formatCode="General">
                  <c:v>585</c:v>
                </c:pt>
                <c:pt idx="32" formatCode="General">
                  <c:v>685</c:v>
                </c:pt>
                <c:pt idx="33" formatCode="General">
                  <c:v>785</c:v>
                </c:pt>
                <c:pt idx="34" formatCode="General">
                  <c:v>885</c:v>
                </c:pt>
                <c:pt idx="35" formatCode="General">
                  <c:v>985</c:v>
                </c:pt>
                <c:pt idx="36" formatCode="General">
                  <c:v>1085</c:v>
                </c:pt>
                <c:pt idx="37" formatCode="General">
                  <c:v>1185</c:v>
                </c:pt>
                <c:pt idx="38" formatCode="General">
                  <c:v>1285</c:v>
                </c:pt>
                <c:pt idx="39" formatCode="General">
                  <c:v>1385</c:v>
                </c:pt>
                <c:pt idx="40" formatCode="General">
                  <c:v>1485</c:v>
                </c:pt>
                <c:pt idx="41" formatCode="General">
                  <c:v>1585</c:v>
                </c:pt>
                <c:pt idx="42" formatCode="General">
                  <c:v>1685</c:v>
                </c:pt>
                <c:pt idx="43" formatCode="General">
                  <c:v>1785</c:v>
                </c:pt>
                <c:pt idx="44" formatCode="General">
                  <c:v>1885</c:v>
                </c:pt>
                <c:pt idx="45" formatCode="General">
                  <c:v>1985</c:v>
                </c:pt>
                <c:pt idx="46" formatCode="General">
                  <c:v>2085</c:v>
                </c:pt>
                <c:pt idx="47" formatCode="General">
                  <c:v>2585</c:v>
                </c:pt>
                <c:pt idx="48" formatCode="General">
                  <c:v>2785</c:v>
                </c:pt>
                <c:pt idx="49" formatCode="General">
                  <c:v>2985</c:v>
                </c:pt>
                <c:pt idx="50" formatCode="General">
                  <c:v>3185</c:v>
                </c:pt>
                <c:pt idx="51" formatCode="General">
                  <c:v>3385</c:v>
                </c:pt>
                <c:pt idx="52" formatCode="General">
                  <c:v>3585</c:v>
                </c:pt>
                <c:pt idx="53" formatCode="General">
                  <c:v>3420</c:v>
                </c:pt>
                <c:pt idx="54">
                  <c:v>3420</c:v>
                </c:pt>
              </c:numCache>
            </c:numRef>
          </c:xVal>
          <c:yVal>
            <c:numRef>
              <c:f>'Oil-Based Mud 1'!$AX$16:$AX$70</c:f>
              <c:numCache>
                <c:formatCode>0.00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AF1-49A7-8E70-C8C8E3D151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141011"/>
        <c:axId val="11815851"/>
      </c:scatterChart>
      <c:valAx>
        <c:axId val="64141011"/>
        <c:scaling>
          <c:orientation val="minMax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lang="en-GB" sz="80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Time (min)</a:t>
                </a:r>
              </a:p>
            </c:rich>
          </c:tx>
          <c:layout>
            <c:manualLayout>
              <c:xMode val="edge"/>
              <c:yMode val="edge"/>
              <c:x val="0.49620615604867602"/>
              <c:y val="0.92465911717125004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00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11815851"/>
        <c:crosses val="autoZero"/>
        <c:crossBetween val="midCat"/>
      </c:valAx>
      <c:valAx>
        <c:axId val="11815851"/>
        <c:scaling>
          <c:orientation val="minMax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lang="en-GB" sz="80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Filtration Pressure (psi)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00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64141011"/>
        <c:crosses val="autoZero"/>
        <c:crossBetween val="midCat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legendPos val="r"/>
      <c:layout>
        <c:manualLayout>
          <c:xMode val="edge"/>
          <c:yMode val="edge"/>
          <c:x val="0.58403722261989999"/>
          <c:y val="0.32909637162006"/>
        </c:manualLayout>
      </c:layout>
      <c:overlay val="0"/>
      <c:spPr>
        <a:solidFill>
          <a:srgbClr val="FFFFFF"/>
        </a:solidFill>
        <a:ln w="0">
          <a:solidFill>
            <a:srgbClr val="000000"/>
          </a:solidFill>
        </a:ln>
      </c:spPr>
      <c:txPr>
        <a:bodyPr/>
        <a:lstStyle/>
        <a:p>
          <a:pPr>
            <a:defRPr sz="800" b="1" u="none" strike="noStrike">
              <a:solidFill>
                <a:srgbClr val="000000"/>
              </a:solidFill>
              <a:uFillTx/>
              <a:latin typeface="Times New Roman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25452352231604"/>
          <c:y val="3.1173267855236501E-2"/>
          <c:w val="0.79282267792521099"/>
          <c:h val="0.86911497811465799"/>
        </c:manualLayout>
      </c:layout>
      <c:scatterChart>
        <c:scatterStyle val="lineMarker"/>
        <c:varyColors val="0"/>
        <c:ser>
          <c:idx val="0"/>
          <c:order val="0"/>
          <c:spPr>
            <a:ln w="0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'Oil-Based Mud 1'!$AV$16:$AV$69</c:f>
              <c:numCache>
                <c:formatCode>0.00</c:formatCode>
                <c:ptCount val="54"/>
                <c:pt idx="0" formatCode="General">
                  <c:v>0</c:v>
                </c:pt>
                <c:pt idx="1">
                  <c:v>1</c:v>
                </c:pt>
                <c:pt idx="2" formatCode="General">
                  <c:v>2</c:v>
                </c:pt>
                <c:pt idx="3" formatCode="General">
                  <c:v>5</c:v>
                </c:pt>
                <c:pt idx="4" formatCode="General">
                  <c:v>10</c:v>
                </c:pt>
                <c:pt idx="5" formatCode="General">
                  <c:v>20</c:v>
                </c:pt>
                <c:pt idx="6" formatCode="General">
                  <c:v>30</c:v>
                </c:pt>
                <c:pt idx="7" formatCode="General">
                  <c:v>35</c:v>
                </c:pt>
                <c:pt idx="8" formatCode="General">
                  <c:v>45</c:v>
                </c:pt>
                <c:pt idx="9" formatCode="General">
                  <c:v>55</c:v>
                </c:pt>
                <c:pt idx="10" formatCode="General">
                  <c:v>65</c:v>
                </c:pt>
                <c:pt idx="11" formatCode="General">
                  <c:v>75</c:v>
                </c:pt>
                <c:pt idx="12" formatCode="General">
                  <c:v>85</c:v>
                </c:pt>
                <c:pt idx="13" formatCode="General">
                  <c:v>95</c:v>
                </c:pt>
                <c:pt idx="14" formatCode="General">
                  <c:v>105</c:v>
                </c:pt>
                <c:pt idx="15" formatCode="General">
                  <c:v>115</c:v>
                </c:pt>
                <c:pt idx="16" formatCode="General">
                  <c:v>125</c:v>
                </c:pt>
                <c:pt idx="17" formatCode="General">
                  <c:v>135</c:v>
                </c:pt>
                <c:pt idx="18" formatCode="General">
                  <c:v>145</c:v>
                </c:pt>
                <c:pt idx="19" formatCode="General">
                  <c:v>155</c:v>
                </c:pt>
                <c:pt idx="20" formatCode="General">
                  <c:v>165</c:v>
                </c:pt>
                <c:pt idx="21" formatCode="General">
                  <c:v>175</c:v>
                </c:pt>
                <c:pt idx="22" formatCode="General">
                  <c:v>185</c:v>
                </c:pt>
                <c:pt idx="23" formatCode="General">
                  <c:v>195</c:v>
                </c:pt>
                <c:pt idx="24" formatCode="General">
                  <c:v>205</c:v>
                </c:pt>
                <c:pt idx="25" formatCode="General">
                  <c:v>215</c:v>
                </c:pt>
                <c:pt idx="26" formatCode="General">
                  <c:v>225</c:v>
                </c:pt>
                <c:pt idx="27" formatCode="General">
                  <c:v>255</c:v>
                </c:pt>
                <c:pt idx="28" formatCode="General">
                  <c:v>285</c:v>
                </c:pt>
                <c:pt idx="29" formatCode="General">
                  <c:v>385</c:v>
                </c:pt>
                <c:pt idx="30" formatCode="General">
                  <c:v>485</c:v>
                </c:pt>
                <c:pt idx="31" formatCode="General">
                  <c:v>585</c:v>
                </c:pt>
                <c:pt idx="32" formatCode="General">
                  <c:v>685</c:v>
                </c:pt>
                <c:pt idx="33" formatCode="General">
                  <c:v>785</c:v>
                </c:pt>
                <c:pt idx="34" formatCode="General">
                  <c:v>885</c:v>
                </c:pt>
                <c:pt idx="35" formatCode="General">
                  <c:v>985</c:v>
                </c:pt>
                <c:pt idx="36" formatCode="General">
                  <c:v>1085</c:v>
                </c:pt>
                <c:pt idx="37" formatCode="General">
                  <c:v>1185</c:v>
                </c:pt>
                <c:pt idx="38" formatCode="General">
                  <c:v>1285</c:v>
                </c:pt>
                <c:pt idx="39" formatCode="General">
                  <c:v>1385</c:v>
                </c:pt>
                <c:pt idx="40" formatCode="General">
                  <c:v>1485</c:v>
                </c:pt>
                <c:pt idx="41" formatCode="General">
                  <c:v>1585</c:v>
                </c:pt>
                <c:pt idx="42" formatCode="General">
                  <c:v>1685</c:v>
                </c:pt>
                <c:pt idx="43" formatCode="General">
                  <c:v>1785</c:v>
                </c:pt>
                <c:pt idx="44" formatCode="General">
                  <c:v>1885</c:v>
                </c:pt>
                <c:pt idx="45" formatCode="General">
                  <c:v>1985</c:v>
                </c:pt>
                <c:pt idx="46" formatCode="General">
                  <c:v>2085</c:v>
                </c:pt>
                <c:pt idx="47" formatCode="General">
                  <c:v>2585</c:v>
                </c:pt>
                <c:pt idx="48" formatCode="General">
                  <c:v>2785</c:v>
                </c:pt>
                <c:pt idx="49" formatCode="General">
                  <c:v>2985</c:v>
                </c:pt>
                <c:pt idx="50" formatCode="General">
                  <c:v>3185</c:v>
                </c:pt>
                <c:pt idx="51" formatCode="General">
                  <c:v>3385</c:v>
                </c:pt>
                <c:pt idx="52" formatCode="General">
                  <c:v>3585</c:v>
                </c:pt>
                <c:pt idx="53" formatCode="General">
                  <c:v>3420</c:v>
                </c:pt>
              </c:numCache>
            </c:numRef>
          </c:xVal>
          <c:yVal>
            <c:numRef>
              <c:f>'Oil-Based Mud 1'!$AN$16:$AN$69</c:f>
              <c:numCache>
                <c:formatCode>0</c:formatCode>
                <c:ptCount val="54"/>
                <c:pt idx="0" formatCode="General">
                  <c:v>0</c:v>
                </c:pt>
                <c:pt idx="1">
                  <c:v>112.759701915842</c:v>
                </c:pt>
                <c:pt idx="2">
                  <c:v>136.53247565156099</c:v>
                </c:pt>
                <c:pt idx="3">
                  <c:v>176.49975574948999</c:v>
                </c:pt>
                <c:pt idx="4">
                  <c:v>207.420982523172</c:v>
                </c:pt>
                <c:pt idx="5">
                  <c:v>234.45913289439301</c:v>
                </c:pt>
                <c:pt idx="6">
                  <c:v>247.74556680378399</c:v>
                </c:pt>
                <c:pt idx="7">
                  <c:v>252.29002318124199</c:v>
                </c:pt>
                <c:pt idx="8">
                  <c:v>259.119506374271</c:v>
                </c:pt>
                <c:pt idx="9">
                  <c:v>264.07844665653602</c:v>
                </c:pt>
                <c:pt idx="10">
                  <c:v>267.88958354689203</c:v>
                </c:pt>
                <c:pt idx="11">
                  <c:v>270.93679358240399</c:v>
                </c:pt>
                <c:pt idx="12">
                  <c:v>273.44533190291202</c:v>
                </c:pt>
                <c:pt idx="13">
                  <c:v>275.55723842467199</c:v>
                </c:pt>
                <c:pt idx="14">
                  <c:v>277.36710280738799</c:v>
                </c:pt>
                <c:pt idx="15">
                  <c:v>278.94067481723999</c:v>
                </c:pt>
                <c:pt idx="16">
                  <c:v>280.32526659310997</c:v>
                </c:pt>
                <c:pt idx="17">
                  <c:v>281.55590847515799</c:v>
                </c:pt>
                <c:pt idx="18">
                  <c:v>282.65916588634599</c:v>
                </c:pt>
                <c:pt idx="19">
                  <c:v>283.65559984611298</c:v>
                </c:pt>
                <c:pt idx="20">
                  <c:v>284.56140626133202</c:v>
                </c:pt>
                <c:pt idx="21">
                  <c:v>285.38953942984398</c:v>
                </c:pt>
                <c:pt idx="22">
                  <c:v>286.15050119459198</c:v>
                </c:pt>
                <c:pt idx="23">
                  <c:v>286.85290731624099</c:v>
                </c:pt>
                <c:pt idx="24">
                  <c:v>287.50390176953198</c:v>
                </c:pt>
                <c:pt idx="25">
                  <c:v>288.10946497941399</c:v>
                </c:pt>
                <c:pt idx="26">
                  <c:v>288.674646660463</c:v>
                </c:pt>
                <c:pt idx="27">
                  <c:v>290.16791342656597</c:v>
                </c:pt>
                <c:pt idx="28">
                  <c:v>291.420867246672</c:v>
                </c:pt>
                <c:pt idx="29">
                  <c:v>292.491741767696</c:v>
                </c:pt>
                <c:pt idx="30">
                  <c:v>293.420754578801</c:v>
                </c:pt>
                <c:pt idx="31">
                  <c:v>294.23669321241101</c:v>
                </c:pt>
                <c:pt idx="32">
                  <c:v>294.960778985876</c:v>
                </c:pt>
                <c:pt idx="33">
                  <c:v>295.60904569360798</c:v>
                </c:pt>
                <c:pt idx="34">
                  <c:v>296.19386383101602</c:v>
                </c:pt>
                <c:pt idx="35">
                  <c:v>296.72495091063303</c:v>
                </c:pt>
                <c:pt idx="36">
                  <c:v>297.21006084180601</c:v>
                </c:pt>
                <c:pt idx="37">
                  <c:v>297.65546629371102</c:v>
                </c:pt>
                <c:pt idx="38">
                  <c:v>298.06630371453099</c:v>
                </c:pt>
                <c:pt idx="39">
                  <c:v>298.44682495264999</c:v>
                </c:pt>
                <c:pt idx="40">
                  <c:v>298.800583960903</c:v>
                </c:pt>
                <c:pt idx="41">
                  <c:v>299.13057749194201</c:v>
                </c:pt>
                <c:pt idx="42">
                  <c:v>299.43935261032101</c:v>
                </c:pt>
                <c:pt idx="43">
                  <c:v>299.72908989091701</c:v>
                </c:pt>
                <c:pt idx="44">
                  <c:v>300.00166854565998</c:v>
                </c:pt>
                <c:pt idx="45">
                  <c:v>300.25871794168302</c:v>
                </c:pt>
                <c:pt idx="46">
                  <c:v>300.50165874867901</c:v>
                </c:pt>
                <c:pt idx="47">
                  <c:v>300.731736095717</c:v>
                </c:pt>
                <c:pt idx="48">
                  <c:v>300.95004650891201</c:v>
                </c:pt>
                <c:pt idx="49">
                  <c:v>301.15755996313902</c:v>
                </c:pt>
                <c:pt idx="50">
                  <c:v>301.35513806174902</c:v>
                </c:pt>
                <c:pt idx="51">
                  <c:v>301.54354912294201</c:v>
                </c:pt>
                <c:pt idx="52">
                  <c:v>301.72348077619802</c:v>
                </c:pt>
                <c:pt idx="53">
                  <c:v>302.72378396526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3A-465D-AA24-C3C947EC3135}"/>
            </c:ext>
          </c:extLst>
        </c:ser>
        <c:ser>
          <c:idx val="1"/>
          <c:order val="1"/>
          <c:spPr>
            <a:ln w="0">
              <a:solidFill>
                <a:srgbClr val="FF00FF"/>
              </a:solidFill>
            </a:ln>
          </c:spPr>
          <c:marker>
            <c:symbol val="square"/>
            <c:size val="3"/>
            <c:spPr>
              <a:solidFill>
                <a:srgbClr val="FF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'Oil-Based Mud 1'!$AV$16:$AV$69</c:f>
              <c:numCache>
                <c:formatCode>0.00</c:formatCode>
                <c:ptCount val="54"/>
                <c:pt idx="0" formatCode="General">
                  <c:v>0</c:v>
                </c:pt>
                <c:pt idx="1">
                  <c:v>1</c:v>
                </c:pt>
                <c:pt idx="2" formatCode="General">
                  <c:v>2</c:v>
                </c:pt>
                <c:pt idx="3" formatCode="General">
                  <c:v>5</c:v>
                </c:pt>
                <c:pt idx="4" formatCode="General">
                  <c:v>10</c:v>
                </c:pt>
                <c:pt idx="5" formatCode="General">
                  <c:v>20</c:v>
                </c:pt>
                <c:pt idx="6" formatCode="General">
                  <c:v>30</c:v>
                </c:pt>
                <c:pt idx="7" formatCode="General">
                  <c:v>35</c:v>
                </c:pt>
                <c:pt idx="8" formatCode="General">
                  <c:v>45</c:v>
                </c:pt>
                <c:pt idx="9" formatCode="General">
                  <c:v>55</c:v>
                </c:pt>
                <c:pt idx="10" formatCode="General">
                  <c:v>65</c:v>
                </c:pt>
                <c:pt idx="11" formatCode="General">
                  <c:v>75</c:v>
                </c:pt>
                <c:pt idx="12" formatCode="General">
                  <c:v>85</c:v>
                </c:pt>
                <c:pt idx="13" formatCode="General">
                  <c:v>95</c:v>
                </c:pt>
                <c:pt idx="14" formatCode="General">
                  <c:v>105</c:v>
                </c:pt>
                <c:pt idx="15" formatCode="General">
                  <c:v>115</c:v>
                </c:pt>
                <c:pt idx="16" formatCode="General">
                  <c:v>125</c:v>
                </c:pt>
                <c:pt idx="17" formatCode="General">
                  <c:v>135</c:v>
                </c:pt>
                <c:pt idx="18" formatCode="General">
                  <c:v>145</c:v>
                </c:pt>
                <c:pt idx="19" formatCode="General">
                  <c:v>155</c:v>
                </c:pt>
                <c:pt idx="20" formatCode="General">
                  <c:v>165</c:v>
                </c:pt>
                <c:pt idx="21" formatCode="General">
                  <c:v>175</c:v>
                </c:pt>
                <c:pt idx="22" formatCode="General">
                  <c:v>185</c:v>
                </c:pt>
                <c:pt idx="23" formatCode="General">
                  <c:v>195</c:v>
                </c:pt>
                <c:pt idx="24" formatCode="General">
                  <c:v>205</c:v>
                </c:pt>
                <c:pt idx="25" formatCode="General">
                  <c:v>215</c:v>
                </c:pt>
                <c:pt idx="26" formatCode="General">
                  <c:v>225</c:v>
                </c:pt>
                <c:pt idx="27" formatCode="General">
                  <c:v>255</c:v>
                </c:pt>
                <c:pt idx="28" formatCode="General">
                  <c:v>285</c:v>
                </c:pt>
                <c:pt idx="29" formatCode="General">
                  <c:v>385</c:v>
                </c:pt>
                <c:pt idx="30" formatCode="General">
                  <c:v>485</c:v>
                </c:pt>
                <c:pt idx="31" formatCode="General">
                  <c:v>585</c:v>
                </c:pt>
                <c:pt idx="32" formatCode="General">
                  <c:v>685</c:v>
                </c:pt>
                <c:pt idx="33" formatCode="General">
                  <c:v>785</c:v>
                </c:pt>
                <c:pt idx="34" formatCode="General">
                  <c:v>885</c:v>
                </c:pt>
                <c:pt idx="35" formatCode="General">
                  <c:v>985</c:v>
                </c:pt>
                <c:pt idx="36" formatCode="General">
                  <c:v>1085</c:v>
                </c:pt>
                <c:pt idx="37" formatCode="General">
                  <c:v>1185</c:v>
                </c:pt>
                <c:pt idx="38" formatCode="General">
                  <c:v>1285</c:v>
                </c:pt>
                <c:pt idx="39" formatCode="General">
                  <c:v>1385</c:v>
                </c:pt>
                <c:pt idx="40" formatCode="General">
                  <c:v>1485</c:v>
                </c:pt>
                <c:pt idx="41" formatCode="General">
                  <c:v>1585</c:v>
                </c:pt>
                <c:pt idx="42" formatCode="General">
                  <c:v>1685</c:v>
                </c:pt>
                <c:pt idx="43" formatCode="General">
                  <c:v>1785</c:v>
                </c:pt>
                <c:pt idx="44" formatCode="General">
                  <c:v>1885</c:v>
                </c:pt>
                <c:pt idx="45" formatCode="General">
                  <c:v>1985</c:v>
                </c:pt>
                <c:pt idx="46" formatCode="General">
                  <c:v>2085</c:v>
                </c:pt>
                <c:pt idx="47" formatCode="General">
                  <c:v>2585</c:v>
                </c:pt>
                <c:pt idx="48" formatCode="General">
                  <c:v>2785</c:v>
                </c:pt>
                <c:pt idx="49" formatCode="General">
                  <c:v>2985</c:v>
                </c:pt>
                <c:pt idx="50" formatCode="General">
                  <c:v>3185</c:v>
                </c:pt>
                <c:pt idx="51" formatCode="General">
                  <c:v>3385</c:v>
                </c:pt>
                <c:pt idx="52" formatCode="General">
                  <c:v>3585</c:v>
                </c:pt>
                <c:pt idx="53" formatCode="General">
                  <c:v>3420</c:v>
                </c:pt>
              </c:numCache>
            </c:numRef>
          </c:xVal>
          <c:yVal>
            <c:numRef>
              <c:f>'Oil-Based Mud 1'!$AQ$16:$AQ$69</c:f>
              <c:numCache>
                <c:formatCode>0</c:formatCode>
                <c:ptCount val="54"/>
                <c:pt idx="0" formatCode="General">
                  <c:v>0</c:v>
                </c:pt>
                <c:pt idx="1">
                  <c:v>102.81833081166801</c:v>
                </c:pt>
                <c:pt idx="2">
                  <c:v>120.244553011541</c:v>
                </c:pt>
                <c:pt idx="3">
                  <c:v>144.32846898996601</c:v>
                </c:pt>
                <c:pt idx="4">
                  <c:v>160.189070033989</c:v>
                </c:pt>
                <c:pt idx="5">
                  <c:v>172.836228382212</c:v>
                </c:pt>
                <c:pt idx="6">
                  <c:v>178.76130610794499</c:v>
                </c:pt>
                <c:pt idx="7">
                  <c:v>180.75393683985101</c:v>
                </c:pt>
                <c:pt idx="8">
                  <c:v>183.72053557895899</c:v>
                </c:pt>
                <c:pt idx="9">
                  <c:v>185.85572896676601</c:v>
                </c:pt>
                <c:pt idx="10">
                  <c:v>187.48705537250399</c:v>
                </c:pt>
                <c:pt idx="11">
                  <c:v>188.78587827050501</c:v>
                </c:pt>
                <c:pt idx="12">
                  <c:v>189.851697575343</c:v>
                </c:pt>
                <c:pt idx="13">
                  <c:v>190.74676721969999</c:v>
                </c:pt>
                <c:pt idx="14">
                  <c:v>191.51229521606299</c:v>
                </c:pt>
                <c:pt idx="15">
                  <c:v>192.17678828273301</c:v>
                </c:pt>
                <c:pt idx="16">
                  <c:v>192.76067907337901</c:v>
                </c:pt>
                <c:pt idx="17">
                  <c:v>193.27904691491901</c:v>
                </c:pt>
                <c:pt idx="18">
                  <c:v>193.74329585194999</c:v>
                </c:pt>
                <c:pt idx="19">
                  <c:v>194.16223156683</c:v>
                </c:pt>
                <c:pt idx="20">
                  <c:v>194.54277614282</c:v>
                </c:pt>
                <c:pt idx="21">
                  <c:v>194.89045632844099</c:v>
                </c:pt>
                <c:pt idx="22">
                  <c:v>195.209745516156</c:v>
                </c:pt>
                <c:pt idx="23">
                  <c:v>195.504308561382</c:v>
                </c:pt>
                <c:pt idx="24">
                  <c:v>195.77718046548199</c:v>
                </c:pt>
                <c:pt idx="25">
                  <c:v>196.03089905058599</c:v>
                </c:pt>
                <c:pt idx="26">
                  <c:v>196.26760500152201</c:v>
                </c:pt>
                <c:pt idx="27">
                  <c:v>196.892586666716</c:v>
                </c:pt>
                <c:pt idx="28">
                  <c:v>197.41654171596599</c:v>
                </c:pt>
                <c:pt idx="29">
                  <c:v>198.697305334996</c:v>
                </c:pt>
                <c:pt idx="30">
                  <c:v>199.55905708832</c:v>
                </c:pt>
                <c:pt idx="31">
                  <c:v>200.18960235563</c:v>
                </c:pt>
                <c:pt idx="32">
                  <c:v>200.67672401565801</c:v>
                </c:pt>
                <c:pt idx="33">
                  <c:v>201.06766817871301</c:v>
                </c:pt>
                <c:pt idx="34">
                  <c:v>201.39041802317499</c:v>
                </c:pt>
                <c:pt idx="35">
                  <c:v>201.66274193872599</c:v>
                </c:pt>
                <c:pt idx="36">
                  <c:v>201.89653641544999</c:v>
                </c:pt>
                <c:pt idx="37">
                  <c:v>202.100106396451</c:v>
                </c:pt>
                <c:pt idx="38">
                  <c:v>202.27944899265901</c:v>
                </c:pt>
                <c:pt idx="39">
                  <c:v>202.43901755100401</c:v>
                </c:pt>
                <c:pt idx="40">
                  <c:v>202.58219767618999</c:v>
                </c:pt>
                <c:pt idx="41">
                  <c:v>202.711615328509</c:v>
                </c:pt>
                <c:pt idx="42">
                  <c:v>202.823707030462</c:v>
                </c:pt>
                <c:pt idx="43">
                  <c:v>202.937040279255</c:v>
                </c:pt>
                <c:pt idx="44">
                  <c:v>203.03605559747501</c:v>
                </c:pt>
                <c:pt idx="45">
                  <c:v>203.12749591251901</c:v>
                </c:pt>
                <c:pt idx="46">
                  <c:v>203.212280299295</c:v>
                </c:pt>
                <c:pt idx="47">
                  <c:v>203.55958856120401</c:v>
                </c:pt>
                <c:pt idx="48">
                  <c:v>203.67155443713099</c:v>
                </c:pt>
                <c:pt idx="49">
                  <c:v>203.772074798387</c:v>
                </c:pt>
                <c:pt idx="50">
                  <c:v>203.862975538299</c:v>
                </c:pt>
                <c:pt idx="51">
                  <c:v>203.945699157728</c:v>
                </c:pt>
                <c:pt idx="52">
                  <c:v>204.02140242374</c:v>
                </c:pt>
                <c:pt idx="53">
                  <c:v>203.95942495962501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3A-465D-AA24-C3C947EC3135}"/>
            </c:ext>
          </c:extLst>
        </c:ser>
        <c:ser>
          <c:idx val="2"/>
          <c:order val="2"/>
          <c:spPr>
            <a:ln w="0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'Oil-Based Mud 1'!$AV$16:$AV$69</c:f>
              <c:numCache>
                <c:formatCode>0.00</c:formatCode>
                <c:ptCount val="54"/>
                <c:pt idx="0" formatCode="General">
                  <c:v>0</c:v>
                </c:pt>
                <c:pt idx="1">
                  <c:v>1</c:v>
                </c:pt>
                <c:pt idx="2" formatCode="General">
                  <c:v>2</c:v>
                </c:pt>
                <c:pt idx="3" formatCode="General">
                  <c:v>5</c:v>
                </c:pt>
                <c:pt idx="4" formatCode="General">
                  <c:v>10</c:v>
                </c:pt>
                <c:pt idx="5" formatCode="General">
                  <c:v>20</c:v>
                </c:pt>
                <c:pt idx="6" formatCode="General">
                  <c:v>30</c:v>
                </c:pt>
                <c:pt idx="7" formatCode="General">
                  <c:v>35</c:v>
                </c:pt>
                <c:pt idx="8" formatCode="General">
                  <c:v>45</c:v>
                </c:pt>
                <c:pt idx="9" formatCode="General">
                  <c:v>55</c:v>
                </c:pt>
                <c:pt idx="10" formatCode="General">
                  <c:v>65</c:v>
                </c:pt>
                <c:pt idx="11" formatCode="General">
                  <c:v>75</c:v>
                </c:pt>
                <c:pt idx="12" formatCode="General">
                  <c:v>85</c:v>
                </c:pt>
                <c:pt idx="13" formatCode="General">
                  <c:v>95</c:v>
                </c:pt>
                <c:pt idx="14" formatCode="General">
                  <c:v>105</c:v>
                </c:pt>
                <c:pt idx="15" formatCode="General">
                  <c:v>115</c:v>
                </c:pt>
                <c:pt idx="16" formatCode="General">
                  <c:v>125</c:v>
                </c:pt>
                <c:pt idx="17" formatCode="General">
                  <c:v>135</c:v>
                </c:pt>
                <c:pt idx="18" formatCode="General">
                  <c:v>145</c:v>
                </c:pt>
                <c:pt idx="19" formatCode="General">
                  <c:v>155</c:v>
                </c:pt>
                <c:pt idx="20" formatCode="General">
                  <c:v>165</c:v>
                </c:pt>
                <c:pt idx="21" formatCode="General">
                  <c:v>175</c:v>
                </c:pt>
                <c:pt idx="22" formatCode="General">
                  <c:v>185</c:v>
                </c:pt>
                <c:pt idx="23" formatCode="General">
                  <c:v>195</c:v>
                </c:pt>
                <c:pt idx="24" formatCode="General">
                  <c:v>205</c:v>
                </c:pt>
                <c:pt idx="25" formatCode="General">
                  <c:v>215</c:v>
                </c:pt>
                <c:pt idx="26" formatCode="General">
                  <c:v>225</c:v>
                </c:pt>
                <c:pt idx="27" formatCode="General">
                  <c:v>255</c:v>
                </c:pt>
                <c:pt idx="28" formatCode="General">
                  <c:v>285</c:v>
                </c:pt>
                <c:pt idx="29" formatCode="General">
                  <c:v>385</c:v>
                </c:pt>
                <c:pt idx="30" formatCode="General">
                  <c:v>485</c:v>
                </c:pt>
                <c:pt idx="31" formatCode="General">
                  <c:v>585</c:v>
                </c:pt>
                <c:pt idx="32" formatCode="General">
                  <c:v>685</c:v>
                </c:pt>
                <c:pt idx="33" formatCode="General">
                  <c:v>785</c:v>
                </c:pt>
                <c:pt idx="34" formatCode="General">
                  <c:v>885</c:v>
                </c:pt>
                <c:pt idx="35" formatCode="General">
                  <c:v>985</c:v>
                </c:pt>
                <c:pt idx="36" formatCode="General">
                  <c:v>1085</c:v>
                </c:pt>
                <c:pt idx="37" formatCode="General">
                  <c:v>1185</c:v>
                </c:pt>
                <c:pt idx="38" formatCode="General">
                  <c:v>1285</c:v>
                </c:pt>
                <c:pt idx="39" formatCode="General">
                  <c:v>1385</c:v>
                </c:pt>
                <c:pt idx="40" formatCode="General">
                  <c:v>1485</c:v>
                </c:pt>
                <c:pt idx="41" formatCode="General">
                  <c:v>1585</c:v>
                </c:pt>
                <c:pt idx="42" formatCode="General">
                  <c:v>1685</c:v>
                </c:pt>
                <c:pt idx="43" formatCode="General">
                  <c:v>1785</c:v>
                </c:pt>
                <c:pt idx="44" formatCode="General">
                  <c:v>1885</c:v>
                </c:pt>
                <c:pt idx="45" formatCode="General">
                  <c:v>1985</c:v>
                </c:pt>
                <c:pt idx="46" formatCode="General">
                  <c:v>2085</c:v>
                </c:pt>
                <c:pt idx="47" formatCode="General">
                  <c:v>2585</c:v>
                </c:pt>
                <c:pt idx="48" formatCode="General">
                  <c:v>2785</c:v>
                </c:pt>
                <c:pt idx="49" formatCode="General">
                  <c:v>2985</c:v>
                </c:pt>
                <c:pt idx="50" formatCode="General">
                  <c:v>3185</c:v>
                </c:pt>
                <c:pt idx="51" formatCode="General">
                  <c:v>3385</c:v>
                </c:pt>
                <c:pt idx="52" formatCode="General">
                  <c:v>3585</c:v>
                </c:pt>
                <c:pt idx="53" formatCode="General">
                  <c:v>3420</c:v>
                </c:pt>
              </c:numCache>
            </c:numRef>
          </c:xVal>
          <c:yVal>
            <c:numRef>
              <c:f>'Oil-Based Mud 1'!$AO$16:$AO$69</c:f>
              <c:numCache>
                <c:formatCode>General</c:formatCode>
                <c:ptCount val="54"/>
                <c:pt idx="0" formatCode="0">
                  <c:v>313.53817600829598</c:v>
                </c:pt>
                <c:pt idx="1">
                  <c:v>200.77847409245399</c:v>
                </c:pt>
                <c:pt idx="2">
                  <c:v>177.005700356734</c:v>
                </c:pt>
                <c:pt idx="3">
                  <c:v>137.03842025880601</c:v>
                </c:pt>
                <c:pt idx="4">
                  <c:v>106.117193485123</c:v>
                </c:pt>
                <c:pt idx="5">
                  <c:v>79.079043113903197</c:v>
                </c:pt>
                <c:pt idx="6">
                  <c:v>65.792609204511905</c:v>
                </c:pt>
                <c:pt idx="7">
                  <c:v>61.248152827053602</c:v>
                </c:pt>
                <c:pt idx="8">
                  <c:v>54.418669634024397</c:v>
                </c:pt>
                <c:pt idx="9">
                  <c:v>49.459729351759599</c:v>
                </c:pt>
                <c:pt idx="10">
                  <c:v>45.648592461403801</c:v>
                </c:pt>
                <c:pt idx="11">
                  <c:v>42.601382425892197</c:v>
                </c:pt>
                <c:pt idx="12">
                  <c:v>40.092844105384003</c:v>
                </c:pt>
                <c:pt idx="13">
                  <c:v>37.980937583623998</c:v>
                </c:pt>
                <c:pt idx="14">
                  <c:v>36.171073200907699</c:v>
                </c:pt>
                <c:pt idx="15">
                  <c:v>34.597501191055798</c:v>
                </c:pt>
                <c:pt idx="16">
                  <c:v>33.212909415185898</c:v>
                </c:pt>
                <c:pt idx="17">
                  <c:v>31.9822675331373</c:v>
                </c:pt>
                <c:pt idx="18">
                  <c:v>30.879010121949801</c:v>
                </c:pt>
                <c:pt idx="19">
                  <c:v>29.882576162182499</c:v>
                </c:pt>
                <c:pt idx="20">
                  <c:v>28.976769746964099</c:v>
                </c:pt>
                <c:pt idx="21">
                  <c:v>28.1486365784518</c:v>
                </c:pt>
                <c:pt idx="22">
                  <c:v>27.387674813703601</c:v>
                </c:pt>
                <c:pt idx="23">
                  <c:v>26.685268692054802</c:v>
                </c:pt>
                <c:pt idx="24">
                  <c:v>26.034274238763299</c:v>
                </c:pt>
                <c:pt idx="25">
                  <c:v>25.428711028881501</c:v>
                </c:pt>
                <c:pt idx="26">
                  <c:v>24.863529347832301</c:v>
                </c:pt>
                <c:pt idx="27">
                  <c:v>23.370262581729801</c:v>
                </c:pt>
                <c:pt idx="28">
                  <c:v>22.117308761623502</c:v>
                </c:pt>
                <c:pt idx="29">
                  <c:v>21.046434240599801</c:v>
                </c:pt>
                <c:pt idx="30">
                  <c:v>20.117421429494499</c:v>
                </c:pt>
                <c:pt idx="31">
                  <c:v>19.301482795884699</c:v>
                </c:pt>
                <c:pt idx="32">
                  <c:v>18.577397022420101</c:v>
                </c:pt>
                <c:pt idx="33">
                  <c:v>17.929130314688098</c:v>
                </c:pt>
                <c:pt idx="34">
                  <c:v>17.344312177280099</c:v>
                </c:pt>
                <c:pt idx="35">
                  <c:v>16.813225097662801</c:v>
                </c:pt>
                <c:pt idx="36">
                  <c:v>16.328115166489798</c:v>
                </c:pt>
                <c:pt idx="37">
                  <c:v>15.882709714584999</c:v>
                </c:pt>
                <c:pt idx="38">
                  <c:v>15.471872293764999</c:v>
                </c:pt>
                <c:pt idx="39">
                  <c:v>15.0913510556456</c:v>
                </c:pt>
                <c:pt idx="40">
                  <c:v>14.7375920473924</c:v>
                </c:pt>
                <c:pt idx="41">
                  <c:v>14.407598516353699</c:v>
                </c:pt>
                <c:pt idx="42">
                  <c:v>14.0988233979744</c:v>
                </c:pt>
                <c:pt idx="43">
                  <c:v>13.8090861173782</c:v>
                </c:pt>
                <c:pt idx="44">
                  <c:v>13.5365074626359</c:v>
                </c:pt>
                <c:pt idx="45">
                  <c:v>13.2794580666129</c:v>
                </c:pt>
                <c:pt idx="46">
                  <c:v>13.036517259617</c:v>
                </c:pt>
                <c:pt idx="47">
                  <c:v>12.806439912578499</c:v>
                </c:pt>
                <c:pt idx="48">
                  <c:v>12.5881294993833</c:v>
                </c:pt>
                <c:pt idx="49">
                  <c:v>12.3806160451563</c:v>
                </c:pt>
                <c:pt idx="50">
                  <c:v>12.183037946546699</c:v>
                </c:pt>
                <c:pt idx="51">
                  <c:v>11.9946268853541</c:v>
                </c:pt>
                <c:pt idx="52">
                  <c:v>11.814695232098</c:v>
                </c:pt>
                <c:pt idx="53">
                  <c:v>10.8143920430355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A3A-465D-AA24-C3C947EC3135}"/>
            </c:ext>
          </c:extLst>
        </c:ser>
        <c:ser>
          <c:idx val="3"/>
          <c:order val="3"/>
          <c:spPr>
            <a:ln w="0">
              <a:solidFill>
                <a:srgbClr val="00FFFF"/>
              </a:solidFill>
            </a:ln>
          </c:spPr>
          <c:marker>
            <c:symbol val="x"/>
            <c:size val="3"/>
            <c:spPr>
              <a:solidFill>
                <a:srgbClr val="00FF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'Oil-Based Mud 1'!$AV$16:$AV$69</c:f>
              <c:numCache>
                <c:formatCode>0.00</c:formatCode>
                <c:ptCount val="54"/>
                <c:pt idx="0" formatCode="General">
                  <c:v>0</c:v>
                </c:pt>
                <c:pt idx="1">
                  <c:v>1</c:v>
                </c:pt>
                <c:pt idx="2" formatCode="General">
                  <c:v>2</c:v>
                </c:pt>
                <c:pt idx="3" formatCode="General">
                  <c:v>5</c:v>
                </c:pt>
                <c:pt idx="4" formatCode="General">
                  <c:v>10</c:v>
                </c:pt>
                <c:pt idx="5" formatCode="General">
                  <c:v>20</c:v>
                </c:pt>
                <c:pt idx="6" formatCode="General">
                  <c:v>30</c:v>
                </c:pt>
                <c:pt idx="7" formatCode="General">
                  <c:v>35</c:v>
                </c:pt>
                <c:pt idx="8" formatCode="General">
                  <c:v>45</c:v>
                </c:pt>
                <c:pt idx="9" formatCode="General">
                  <c:v>55</c:v>
                </c:pt>
                <c:pt idx="10" formatCode="General">
                  <c:v>65</c:v>
                </c:pt>
                <c:pt idx="11" formatCode="General">
                  <c:v>75</c:v>
                </c:pt>
                <c:pt idx="12" formatCode="General">
                  <c:v>85</c:v>
                </c:pt>
                <c:pt idx="13" formatCode="General">
                  <c:v>95</c:v>
                </c:pt>
                <c:pt idx="14" formatCode="General">
                  <c:v>105</c:v>
                </c:pt>
                <c:pt idx="15" formatCode="General">
                  <c:v>115</c:v>
                </c:pt>
                <c:pt idx="16" formatCode="General">
                  <c:v>125</c:v>
                </c:pt>
                <c:pt idx="17" formatCode="General">
                  <c:v>135</c:v>
                </c:pt>
                <c:pt idx="18" formatCode="General">
                  <c:v>145</c:v>
                </c:pt>
                <c:pt idx="19" formatCode="General">
                  <c:v>155</c:v>
                </c:pt>
                <c:pt idx="20" formatCode="General">
                  <c:v>165</c:v>
                </c:pt>
                <c:pt idx="21" formatCode="General">
                  <c:v>175</c:v>
                </c:pt>
                <c:pt idx="22" formatCode="General">
                  <c:v>185</c:v>
                </c:pt>
                <c:pt idx="23" formatCode="General">
                  <c:v>195</c:v>
                </c:pt>
                <c:pt idx="24" formatCode="General">
                  <c:v>205</c:v>
                </c:pt>
                <c:pt idx="25" formatCode="General">
                  <c:v>215</c:v>
                </c:pt>
                <c:pt idx="26" formatCode="General">
                  <c:v>225</c:v>
                </c:pt>
                <c:pt idx="27" formatCode="General">
                  <c:v>255</c:v>
                </c:pt>
                <c:pt idx="28" formatCode="General">
                  <c:v>285</c:v>
                </c:pt>
                <c:pt idx="29" formatCode="General">
                  <c:v>385</c:v>
                </c:pt>
                <c:pt idx="30" formatCode="General">
                  <c:v>485</c:v>
                </c:pt>
                <c:pt idx="31" formatCode="General">
                  <c:v>585</c:v>
                </c:pt>
                <c:pt idx="32" formatCode="General">
                  <c:v>685</c:v>
                </c:pt>
                <c:pt idx="33" formatCode="General">
                  <c:v>785</c:v>
                </c:pt>
                <c:pt idx="34" formatCode="General">
                  <c:v>885</c:v>
                </c:pt>
                <c:pt idx="35" formatCode="General">
                  <c:v>985</c:v>
                </c:pt>
                <c:pt idx="36" formatCode="General">
                  <c:v>1085</c:v>
                </c:pt>
                <c:pt idx="37" formatCode="General">
                  <c:v>1185</c:v>
                </c:pt>
                <c:pt idx="38" formatCode="General">
                  <c:v>1285</c:v>
                </c:pt>
                <c:pt idx="39" formatCode="General">
                  <c:v>1385</c:v>
                </c:pt>
                <c:pt idx="40" formatCode="General">
                  <c:v>1485</c:v>
                </c:pt>
                <c:pt idx="41" formatCode="General">
                  <c:v>1585</c:v>
                </c:pt>
                <c:pt idx="42" formatCode="General">
                  <c:v>1685</c:v>
                </c:pt>
                <c:pt idx="43" formatCode="General">
                  <c:v>1785</c:v>
                </c:pt>
                <c:pt idx="44" formatCode="General">
                  <c:v>1885</c:v>
                </c:pt>
                <c:pt idx="45" formatCode="General">
                  <c:v>1985</c:v>
                </c:pt>
                <c:pt idx="46" formatCode="General">
                  <c:v>2085</c:v>
                </c:pt>
                <c:pt idx="47" formatCode="General">
                  <c:v>2585</c:v>
                </c:pt>
                <c:pt idx="48" formatCode="General">
                  <c:v>2785</c:v>
                </c:pt>
                <c:pt idx="49" formatCode="General">
                  <c:v>2985</c:v>
                </c:pt>
                <c:pt idx="50" formatCode="General">
                  <c:v>3185</c:v>
                </c:pt>
                <c:pt idx="51" formatCode="General">
                  <c:v>3385</c:v>
                </c:pt>
                <c:pt idx="52" formatCode="General">
                  <c:v>3585</c:v>
                </c:pt>
                <c:pt idx="53" formatCode="General">
                  <c:v>3420</c:v>
                </c:pt>
              </c:numCache>
            </c:numRef>
          </c:xVal>
          <c:yVal>
            <c:numRef>
              <c:f>'Oil-Based Mud 1'!$AR$16:$AR$69</c:f>
              <c:numCache>
                <c:formatCode>General</c:formatCode>
                <c:ptCount val="54"/>
                <c:pt idx="0" formatCode="0">
                  <c:v>206.62221389611901</c:v>
                </c:pt>
                <c:pt idx="1">
                  <c:v>103.80388308445001</c:v>
                </c:pt>
                <c:pt idx="2">
                  <c:v>86.377660884578106</c:v>
                </c:pt>
                <c:pt idx="3">
                  <c:v>62.293744906152597</c:v>
                </c:pt>
                <c:pt idx="4">
                  <c:v>46.433143862129903</c:v>
                </c:pt>
                <c:pt idx="5">
                  <c:v>33.785985513906603</c:v>
                </c:pt>
                <c:pt idx="6">
                  <c:v>27.860907788174099</c:v>
                </c:pt>
                <c:pt idx="7">
                  <c:v>25.868277056267399</c:v>
                </c:pt>
                <c:pt idx="8">
                  <c:v>22.901678317160101</c:v>
                </c:pt>
                <c:pt idx="9">
                  <c:v>20.766484929352401</c:v>
                </c:pt>
                <c:pt idx="10">
                  <c:v>19.135158523614699</c:v>
                </c:pt>
                <c:pt idx="11">
                  <c:v>17.836335625613302</c:v>
                </c:pt>
                <c:pt idx="12">
                  <c:v>16.770516320776</c:v>
                </c:pt>
                <c:pt idx="13">
                  <c:v>15.875446676418999</c:v>
                </c:pt>
                <c:pt idx="14">
                  <c:v>15.109918680055401</c:v>
                </c:pt>
                <c:pt idx="15">
                  <c:v>14.4454256133853</c:v>
                </c:pt>
                <c:pt idx="16">
                  <c:v>13.8615348227395</c:v>
                </c:pt>
                <c:pt idx="17">
                  <c:v>13.3431669812</c:v>
                </c:pt>
                <c:pt idx="18">
                  <c:v>12.878918044168399</c:v>
                </c:pt>
                <c:pt idx="19">
                  <c:v>12.4599823292883</c:v>
                </c:pt>
                <c:pt idx="20">
                  <c:v>12.0794377532984</c:v>
                </c:pt>
                <c:pt idx="21">
                  <c:v>11.731757567677899</c:v>
                </c:pt>
                <c:pt idx="22">
                  <c:v>11.412468379962499</c:v>
                </c:pt>
                <c:pt idx="23">
                  <c:v>11.1179053347366</c:v>
                </c:pt>
                <c:pt idx="24">
                  <c:v>10.8450334306365</c:v>
                </c:pt>
                <c:pt idx="25">
                  <c:v>10.5913148455324</c:v>
                </c:pt>
                <c:pt idx="26">
                  <c:v>10.3546088945966</c:v>
                </c:pt>
                <c:pt idx="27">
                  <c:v>9.7296272294024604</c:v>
                </c:pt>
                <c:pt idx="28">
                  <c:v>9.2056721801527193</c:v>
                </c:pt>
                <c:pt idx="29">
                  <c:v>7.9249085611227201</c:v>
                </c:pt>
                <c:pt idx="30">
                  <c:v>7.0631568077991203</c:v>
                </c:pt>
                <c:pt idx="31">
                  <c:v>6.4326115404888604</c:v>
                </c:pt>
                <c:pt idx="32">
                  <c:v>5.9454898804604301</c:v>
                </c:pt>
                <c:pt idx="33">
                  <c:v>5.5545457174052304</c:v>
                </c:pt>
                <c:pt idx="34">
                  <c:v>5.2317958729438399</c:v>
                </c:pt>
                <c:pt idx="35">
                  <c:v>4.9594719573927302</c:v>
                </c:pt>
                <c:pt idx="36">
                  <c:v>4.7256774806681996</c:v>
                </c:pt>
                <c:pt idx="37">
                  <c:v>4.5221074996673298</c:v>
                </c:pt>
                <c:pt idx="38">
                  <c:v>4.3427649034598703</c:v>
                </c:pt>
                <c:pt idx="39">
                  <c:v>4.1831963451143199</c:v>
                </c:pt>
                <c:pt idx="40">
                  <c:v>4.0400162199281597</c:v>
                </c:pt>
                <c:pt idx="41">
                  <c:v>3.9105985676091599</c:v>
                </c:pt>
                <c:pt idx="42">
                  <c:v>3.7985068656563099</c:v>
                </c:pt>
                <c:pt idx="43">
                  <c:v>3.6851736168636999</c:v>
                </c:pt>
                <c:pt idx="44">
                  <c:v>3.5861582986434501</c:v>
                </c:pt>
                <c:pt idx="45">
                  <c:v>3.4947179835992301</c:v>
                </c:pt>
                <c:pt idx="46">
                  <c:v>3.4099335968239299</c:v>
                </c:pt>
                <c:pt idx="47">
                  <c:v>3.06262533491459</c:v>
                </c:pt>
                <c:pt idx="48">
                  <c:v>2.9506594589872299</c:v>
                </c:pt>
                <c:pt idx="49">
                  <c:v>2.8501390977320802</c:v>
                </c:pt>
                <c:pt idx="50">
                  <c:v>2.7592383578193602</c:v>
                </c:pt>
                <c:pt idx="51">
                  <c:v>2.67651473839042</c:v>
                </c:pt>
                <c:pt idx="52">
                  <c:v>2.6008114723782501</c:v>
                </c:pt>
                <c:pt idx="53">
                  <c:v>2.6627889364936799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A3A-465D-AA24-C3C947EC31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02287"/>
        <c:axId val="79422557"/>
      </c:scatterChart>
      <c:valAx>
        <c:axId val="27802287"/>
        <c:scaling>
          <c:orientation val="minMax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lang="en-GB" sz="80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Time (min)</a:t>
                </a:r>
              </a:p>
            </c:rich>
          </c:tx>
          <c:layout>
            <c:manualLayout>
              <c:xMode val="edge"/>
              <c:yMode val="edge"/>
              <c:x val="0.46343486127864902"/>
              <c:y val="0.931034482758621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00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79422557"/>
        <c:crosses val="autoZero"/>
        <c:crossBetween val="midCat"/>
      </c:valAx>
      <c:valAx>
        <c:axId val="79422557"/>
        <c:scaling>
          <c:orientation val="minMax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lang="en-GB" sz="80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Filtration pressure (psi)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00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27802287"/>
        <c:crosses val="autoZero"/>
        <c:crossBetween val="midCat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legend>
      <c:legendPos val="r"/>
      <c:layout>
        <c:manualLayout>
          <c:xMode val="edge"/>
          <c:yMode val="edge"/>
          <c:x val="0.58134800965018096"/>
          <c:y val="0.34098430660830598"/>
        </c:manualLayout>
      </c:layout>
      <c:overlay val="0"/>
      <c:spPr>
        <a:solidFill>
          <a:srgbClr val="FFFFFF"/>
        </a:solidFill>
        <a:ln w="0">
          <a:solidFill>
            <a:srgbClr val="000000"/>
          </a:solidFill>
        </a:ln>
      </c:spPr>
      <c:txPr>
        <a:bodyPr/>
        <a:lstStyle/>
        <a:p>
          <a:pPr>
            <a:defRPr sz="800" b="1" u="none" strike="noStrike">
              <a:solidFill>
                <a:srgbClr val="000000"/>
              </a:solidFill>
              <a:uFillTx/>
              <a:latin typeface="Times New Roman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3358462118356601"/>
          <c:y val="3.7789569043613302E-2"/>
          <c:w val="0.844327176781003"/>
          <c:h val="0.83370001294163298"/>
        </c:manualLayout>
      </c:layout>
      <c:scatterChart>
        <c:scatterStyle val="lineMarker"/>
        <c:varyColors val="0"/>
        <c:ser>
          <c:idx val="0"/>
          <c:order val="0"/>
          <c:spPr>
            <a:ln w="0">
              <a:solidFill>
                <a:srgbClr val="FF00FF"/>
              </a:solidFill>
            </a:ln>
          </c:spPr>
          <c:marker>
            <c:symbol val="square"/>
            <c:size val="3"/>
            <c:spPr>
              <a:solidFill>
                <a:srgbClr val="FF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'Oil-Based Mud 1'!$AV$16:$AV$70</c:f>
              <c:numCache>
                <c:formatCode>0.00</c:formatCode>
                <c:ptCount val="55"/>
                <c:pt idx="0" formatCode="General">
                  <c:v>0</c:v>
                </c:pt>
                <c:pt idx="1">
                  <c:v>1</c:v>
                </c:pt>
                <c:pt idx="2" formatCode="General">
                  <c:v>2</c:v>
                </c:pt>
                <c:pt idx="3" formatCode="General">
                  <c:v>5</c:v>
                </c:pt>
                <c:pt idx="4" formatCode="General">
                  <c:v>10</c:v>
                </c:pt>
                <c:pt idx="5" formatCode="General">
                  <c:v>20</c:v>
                </c:pt>
                <c:pt idx="6" formatCode="General">
                  <c:v>30</c:v>
                </c:pt>
                <c:pt idx="7" formatCode="General">
                  <c:v>35</c:v>
                </c:pt>
                <c:pt idx="8" formatCode="General">
                  <c:v>45</c:v>
                </c:pt>
                <c:pt idx="9" formatCode="General">
                  <c:v>55</c:v>
                </c:pt>
                <c:pt idx="10" formatCode="General">
                  <c:v>65</c:v>
                </c:pt>
                <c:pt idx="11" formatCode="General">
                  <c:v>75</c:v>
                </c:pt>
                <c:pt idx="12" formatCode="General">
                  <c:v>85</c:v>
                </c:pt>
                <c:pt idx="13" formatCode="General">
                  <c:v>95</c:v>
                </c:pt>
                <c:pt idx="14" formatCode="General">
                  <c:v>105</c:v>
                </c:pt>
                <c:pt idx="15" formatCode="General">
                  <c:v>115</c:v>
                </c:pt>
                <c:pt idx="16" formatCode="General">
                  <c:v>125</c:v>
                </c:pt>
                <c:pt idx="17" formatCode="General">
                  <c:v>135</c:v>
                </c:pt>
                <c:pt idx="18" formatCode="General">
                  <c:v>145</c:v>
                </c:pt>
                <c:pt idx="19" formatCode="General">
                  <c:v>155</c:v>
                </c:pt>
                <c:pt idx="20" formatCode="General">
                  <c:v>165</c:v>
                </c:pt>
                <c:pt idx="21" formatCode="General">
                  <c:v>175</c:v>
                </c:pt>
                <c:pt idx="22" formatCode="General">
                  <c:v>185</c:v>
                </c:pt>
                <c:pt idx="23" formatCode="General">
                  <c:v>195</c:v>
                </c:pt>
                <c:pt idx="24" formatCode="General">
                  <c:v>205</c:v>
                </c:pt>
                <c:pt idx="25" formatCode="General">
                  <c:v>215</c:v>
                </c:pt>
                <c:pt idx="26" formatCode="General">
                  <c:v>225</c:v>
                </c:pt>
                <c:pt idx="27" formatCode="General">
                  <c:v>255</c:v>
                </c:pt>
                <c:pt idx="28" formatCode="General">
                  <c:v>285</c:v>
                </c:pt>
                <c:pt idx="29" formatCode="General">
                  <c:v>385</c:v>
                </c:pt>
                <c:pt idx="30" formatCode="General">
                  <c:v>485</c:v>
                </c:pt>
                <c:pt idx="31" formatCode="General">
                  <c:v>585</c:v>
                </c:pt>
                <c:pt idx="32" formatCode="General">
                  <c:v>685</c:v>
                </c:pt>
                <c:pt idx="33" formatCode="General">
                  <c:v>785</c:v>
                </c:pt>
                <c:pt idx="34" formatCode="General">
                  <c:v>885</c:v>
                </c:pt>
                <c:pt idx="35" formatCode="General">
                  <c:v>985</c:v>
                </c:pt>
                <c:pt idx="36" formatCode="General">
                  <c:v>1085</c:v>
                </c:pt>
                <c:pt idx="37" formatCode="General">
                  <c:v>1185</c:v>
                </c:pt>
                <c:pt idx="38" formatCode="General">
                  <c:v>1285</c:v>
                </c:pt>
                <c:pt idx="39" formatCode="General">
                  <c:v>1385</c:v>
                </c:pt>
                <c:pt idx="40" formatCode="General">
                  <c:v>1485</c:v>
                </c:pt>
                <c:pt idx="41" formatCode="General">
                  <c:v>1585</c:v>
                </c:pt>
                <c:pt idx="42" formatCode="General">
                  <c:v>1685</c:v>
                </c:pt>
                <c:pt idx="43" formatCode="General">
                  <c:v>1785</c:v>
                </c:pt>
                <c:pt idx="44" formatCode="General">
                  <c:v>1885</c:v>
                </c:pt>
                <c:pt idx="45" formatCode="General">
                  <c:v>1985</c:v>
                </c:pt>
                <c:pt idx="46" formatCode="General">
                  <c:v>2085</c:v>
                </c:pt>
                <c:pt idx="47" formatCode="General">
                  <c:v>2585</c:v>
                </c:pt>
                <c:pt idx="48" formatCode="General">
                  <c:v>2785</c:v>
                </c:pt>
                <c:pt idx="49" formatCode="General">
                  <c:v>2985</c:v>
                </c:pt>
                <c:pt idx="50" formatCode="General">
                  <c:v>3185</c:v>
                </c:pt>
                <c:pt idx="51" formatCode="General">
                  <c:v>3385</c:v>
                </c:pt>
                <c:pt idx="52" formatCode="General">
                  <c:v>3585</c:v>
                </c:pt>
                <c:pt idx="53" formatCode="General">
                  <c:v>3420</c:v>
                </c:pt>
                <c:pt idx="54">
                  <c:v>3420</c:v>
                </c:pt>
              </c:numCache>
            </c:numRef>
          </c:xVal>
          <c:yVal>
            <c:numRef>
              <c:f>'Oil-Based Mud 1'!$AX$16:$AX$70</c:f>
              <c:numCache>
                <c:formatCode>0.00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E8-42D6-B27A-9C130B3997B3}"/>
            </c:ext>
          </c:extLst>
        </c:ser>
        <c:ser>
          <c:idx val="1"/>
          <c:order val="1"/>
          <c:spPr>
            <a:ln w="0">
              <a:solidFill>
                <a:srgbClr val="FFFF00"/>
              </a:solidFill>
            </a:ln>
          </c:spPr>
          <c:marker>
            <c:symbol val="triangle"/>
            <c:size val="3"/>
            <c:spPr>
              <a:solidFill>
                <a:srgbClr val="FFFF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'Oil-Based Mud 1'!$AV$16:$AV$70</c:f>
              <c:numCache>
                <c:formatCode>0.00</c:formatCode>
                <c:ptCount val="55"/>
                <c:pt idx="0" formatCode="General">
                  <c:v>0</c:v>
                </c:pt>
                <c:pt idx="1">
                  <c:v>1</c:v>
                </c:pt>
                <c:pt idx="2" formatCode="General">
                  <c:v>2</c:v>
                </c:pt>
                <c:pt idx="3" formatCode="General">
                  <c:v>5</c:v>
                </c:pt>
                <c:pt idx="4" formatCode="General">
                  <c:v>10</c:v>
                </c:pt>
                <c:pt idx="5" formatCode="General">
                  <c:v>20</c:v>
                </c:pt>
                <c:pt idx="6" formatCode="General">
                  <c:v>30</c:v>
                </c:pt>
                <c:pt idx="7" formatCode="General">
                  <c:v>35</c:v>
                </c:pt>
                <c:pt idx="8" formatCode="General">
                  <c:v>45</c:v>
                </c:pt>
                <c:pt idx="9" formatCode="General">
                  <c:v>55</c:v>
                </c:pt>
                <c:pt idx="10" formatCode="General">
                  <c:v>65</c:v>
                </c:pt>
                <c:pt idx="11" formatCode="General">
                  <c:v>75</c:v>
                </c:pt>
                <c:pt idx="12" formatCode="General">
                  <c:v>85</c:v>
                </c:pt>
                <c:pt idx="13" formatCode="General">
                  <c:v>95</c:v>
                </c:pt>
                <c:pt idx="14" formatCode="General">
                  <c:v>105</c:v>
                </c:pt>
                <c:pt idx="15" formatCode="General">
                  <c:v>115</c:v>
                </c:pt>
                <c:pt idx="16" formatCode="General">
                  <c:v>125</c:v>
                </c:pt>
                <c:pt idx="17" formatCode="General">
                  <c:v>135</c:v>
                </c:pt>
                <c:pt idx="18" formatCode="General">
                  <c:v>145</c:v>
                </c:pt>
                <c:pt idx="19" formatCode="General">
                  <c:v>155</c:v>
                </c:pt>
                <c:pt idx="20" formatCode="General">
                  <c:v>165</c:v>
                </c:pt>
                <c:pt idx="21" formatCode="General">
                  <c:v>175</c:v>
                </c:pt>
                <c:pt idx="22" formatCode="General">
                  <c:v>185</c:v>
                </c:pt>
                <c:pt idx="23" formatCode="General">
                  <c:v>195</c:v>
                </c:pt>
                <c:pt idx="24" formatCode="General">
                  <c:v>205</c:v>
                </c:pt>
                <c:pt idx="25" formatCode="General">
                  <c:v>215</c:v>
                </c:pt>
                <c:pt idx="26" formatCode="General">
                  <c:v>225</c:v>
                </c:pt>
                <c:pt idx="27" formatCode="General">
                  <c:v>255</c:v>
                </c:pt>
                <c:pt idx="28" formatCode="General">
                  <c:v>285</c:v>
                </c:pt>
                <c:pt idx="29" formatCode="General">
                  <c:v>385</c:v>
                </c:pt>
                <c:pt idx="30" formatCode="General">
                  <c:v>485</c:v>
                </c:pt>
                <c:pt idx="31" formatCode="General">
                  <c:v>585</c:v>
                </c:pt>
                <c:pt idx="32" formatCode="General">
                  <c:v>685</c:v>
                </c:pt>
                <c:pt idx="33" formatCode="General">
                  <c:v>785</c:v>
                </c:pt>
                <c:pt idx="34" formatCode="General">
                  <c:v>885</c:v>
                </c:pt>
                <c:pt idx="35" formatCode="General">
                  <c:v>985</c:v>
                </c:pt>
                <c:pt idx="36" formatCode="General">
                  <c:v>1085</c:v>
                </c:pt>
                <c:pt idx="37" formatCode="General">
                  <c:v>1185</c:v>
                </c:pt>
                <c:pt idx="38" formatCode="General">
                  <c:v>1285</c:v>
                </c:pt>
                <c:pt idx="39" formatCode="General">
                  <c:v>1385</c:v>
                </c:pt>
                <c:pt idx="40" formatCode="General">
                  <c:v>1485</c:v>
                </c:pt>
                <c:pt idx="41" formatCode="General">
                  <c:v>1585</c:v>
                </c:pt>
                <c:pt idx="42" formatCode="General">
                  <c:v>1685</c:v>
                </c:pt>
                <c:pt idx="43" formatCode="General">
                  <c:v>1785</c:v>
                </c:pt>
                <c:pt idx="44" formatCode="General">
                  <c:v>1885</c:v>
                </c:pt>
                <c:pt idx="45" formatCode="General">
                  <c:v>1985</c:v>
                </c:pt>
                <c:pt idx="46" formatCode="General">
                  <c:v>2085</c:v>
                </c:pt>
                <c:pt idx="47" formatCode="General">
                  <c:v>2585</c:v>
                </c:pt>
                <c:pt idx="48" formatCode="General">
                  <c:v>2785</c:v>
                </c:pt>
                <c:pt idx="49" formatCode="General">
                  <c:v>2985</c:v>
                </c:pt>
                <c:pt idx="50" formatCode="General">
                  <c:v>3185</c:v>
                </c:pt>
                <c:pt idx="51" formatCode="General">
                  <c:v>3385</c:v>
                </c:pt>
                <c:pt idx="52" formatCode="General">
                  <c:v>3585</c:v>
                </c:pt>
                <c:pt idx="53" formatCode="General">
                  <c:v>3420</c:v>
                </c:pt>
                <c:pt idx="54">
                  <c:v>3420</c:v>
                </c:pt>
              </c:numCache>
            </c:numRef>
          </c:xVal>
          <c:yVal>
            <c:numRef>
              <c:f>'Oil-Based Mud 1'!$AY$16:$AY$70</c:f>
              <c:numCache>
                <c:formatCode>0.00</c:formatCode>
                <c:ptCount val="55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7E8-42D6-B27A-9C130B3997B3}"/>
            </c:ext>
          </c:extLst>
        </c:ser>
        <c:ser>
          <c:idx val="2"/>
          <c:order val="2"/>
          <c:spPr>
            <a:ln w="0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'Oil-Based Mud 1'!$AV$16:$AV$70</c:f>
              <c:numCache>
                <c:formatCode>0.00</c:formatCode>
                <c:ptCount val="55"/>
                <c:pt idx="0" formatCode="General">
                  <c:v>0</c:v>
                </c:pt>
                <c:pt idx="1">
                  <c:v>1</c:v>
                </c:pt>
                <c:pt idx="2" formatCode="General">
                  <c:v>2</c:v>
                </c:pt>
                <c:pt idx="3" formatCode="General">
                  <c:v>5</c:v>
                </c:pt>
                <c:pt idx="4" formatCode="General">
                  <c:v>10</c:v>
                </c:pt>
                <c:pt idx="5" formatCode="General">
                  <c:v>20</c:v>
                </c:pt>
                <c:pt idx="6" formatCode="General">
                  <c:v>30</c:v>
                </c:pt>
                <c:pt idx="7" formatCode="General">
                  <c:v>35</c:v>
                </c:pt>
                <c:pt idx="8" formatCode="General">
                  <c:v>45</c:v>
                </c:pt>
                <c:pt idx="9" formatCode="General">
                  <c:v>55</c:v>
                </c:pt>
                <c:pt idx="10" formatCode="General">
                  <c:v>65</c:v>
                </c:pt>
                <c:pt idx="11" formatCode="General">
                  <c:v>75</c:v>
                </c:pt>
                <c:pt idx="12" formatCode="General">
                  <c:v>85</c:v>
                </c:pt>
                <c:pt idx="13" formatCode="General">
                  <c:v>95</c:v>
                </c:pt>
                <c:pt idx="14" formatCode="General">
                  <c:v>105</c:v>
                </c:pt>
                <c:pt idx="15" formatCode="General">
                  <c:v>115</c:v>
                </c:pt>
                <c:pt idx="16" formatCode="General">
                  <c:v>125</c:v>
                </c:pt>
                <c:pt idx="17" formatCode="General">
                  <c:v>135</c:v>
                </c:pt>
                <c:pt idx="18" formatCode="General">
                  <c:v>145</c:v>
                </c:pt>
                <c:pt idx="19" formatCode="General">
                  <c:v>155</c:v>
                </c:pt>
                <c:pt idx="20" formatCode="General">
                  <c:v>165</c:v>
                </c:pt>
                <c:pt idx="21" formatCode="General">
                  <c:v>175</c:v>
                </c:pt>
                <c:pt idx="22" formatCode="General">
                  <c:v>185</c:v>
                </c:pt>
                <c:pt idx="23" formatCode="General">
                  <c:v>195</c:v>
                </c:pt>
                <c:pt idx="24" formatCode="General">
                  <c:v>205</c:v>
                </c:pt>
                <c:pt idx="25" formatCode="General">
                  <c:v>215</c:v>
                </c:pt>
                <c:pt idx="26" formatCode="General">
                  <c:v>225</c:v>
                </c:pt>
                <c:pt idx="27" formatCode="General">
                  <c:v>255</c:v>
                </c:pt>
                <c:pt idx="28" formatCode="General">
                  <c:v>285</c:v>
                </c:pt>
                <c:pt idx="29" formatCode="General">
                  <c:v>385</c:v>
                </c:pt>
                <c:pt idx="30" formatCode="General">
                  <c:v>485</c:v>
                </c:pt>
                <c:pt idx="31" formatCode="General">
                  <c:v>585</c:v>
                </c:pt>
                <c:pt idx="32" formatCode="General">
                  <c:v>685</c:v>
                </c:pt>
                <c:pt idx="33" formatCode="General">
                  <c:v>785</c:v>
                </c:pt>
                <c:pt idx="34" formatCode="General">
                  <c:v>885</c:v>
                </c:pt>
                <c:pt idx="35" formatCode="General">
                  <c:v>985</c:v>
                </c:pt>
                <c:pt idx="36" formatCode="General">
                  <c:v>1085</c:v>
                </c:pt>
                <c:pt idx="37" formatCode="General">
                  <c:v>1185</c:v>
                </c:pt>
                <c:pt idx="38" formatCode="General">
                  <c:v>1285</c:v>
                </c:pt>
                <c:pt idx="39" formatCode="General">
                  <c:v>1385</c:v>
                </c:pt>
                <c:pt idx="40" formatCode="General">
                  <c:v>1485</c:v>
                </c:pt>
                <c:pt idx="41" formatCode="General">
                  <c:v>1585</c:v>
                </c:pt>
                <c:pt idx="42" formatCode="General">
                  <c:v>1685</c:v>
                </c:pt>
                <c:pt idx="43" formatCode="General">
                  <c:v>1785</c:v>
                </c:pt>
                <c:pt idx="44" formatCode="General">
                  <c:v>1885</c:v>
                </c:pt>
                <c:pt idx="45" formatCode="General">
                  <c:v>1985</c:v>
                </c:pt>
                <c:pt idx="46" formatCode="General">
                  <c:v>2085</c:v>
                </c:pt>
                <c:pt idx="47" formatCode="General">
                  <c:v>2585</c:v>
                </c:pt>
                <c:pt idx="48" formatCode="General">
                  <c:v>2785</c:v>
                </c:pt>
                <c:pt idx="49" formatCode="General">
                  <c:v>2985</c:v>
                </c:pt>
                <c:pt idx="50" formatCode="General">
                  <c:v>3185</c:v>
                </c:pt>
                <c:pt idx="51" formatCode="General">
                  <c:v>3385</c:v>
                </c:pt>
                <c:pt idx="52" formatCode="General">
                  <c:v>3585</c:v>
                </c:pt>
                <c:pt idx="53" formatCode="General">
                  <c:v>3420</c:v>
                </c:pt>
                <c:pt idx="54">
                  <c:v>3420</c:v>
                </c:pt>
              </c:numCache>
            </c:numRef>
          </c:xVal>
          <c:yVal>
            <c:numRef>
              <c:f>'Oil-Based Mud 1'!$AK$16:$AK$70</c:f>
              <c:numCache>
                <c:formatCode>General</c:formatCode>
                <c:ptCount val="55"/>
                <c:pt idx="0" formatCode="0.00">
                  <c:v>313.53817600829598</c:v>
                </c:pt>
                <c:pt idx="1">
                  <c:v>228.72416593714499</c:v>
                </c:pt>
                <c:pt idx="2">
                  <c:v>211.52247163325501</c:v>
                </c:pt>
                <c:pt idx="3">
                  <c:v>177.97296976047099</c:v>
                </c:pt>
                <c:pt idx="4">
                  <c:v>147.947728213</c:v>
                </c:pt>
                <c:pt idx="5">
                  <c:v>118.98228588219401</c:v>
                </c:pt>
                <c:pt idx="6">
                  <c:v>103.957975091618</c:v>
                </c:pt>
                <c:pt idx="7">
                  <c:v>98.7208229938351</c:v>
                </c:pt>
                <c:pt idx="8">
                  <c:v>90.772387547582696</c:v>
                </c:pt>
                <c:pt idx="9">
                  <c:v>84.952914207978907</c:v>
                </c:pt>
                <c:pt idx="10">
                  <c:v>80.460261626511596</c:v>
                </c:pt>
                <c:pt idx="11">
                  <c:v>76.860012435507599</c:v>
                </c:pt>
                <c:pt idx="12">
                  <c:v>73.893766895270801</c:v>
                </c:pt>
                <c:pt idx="13">
                  <c:v>71.396944464025495</c:v>
                </c:pt>
                <c:pt idx="14">
                  <c:v>69.259101532367396</c:v>
                </c:pt>
                <c:pt idx="15">
                  <c:v>67.403010544056201</c:v>
                </c:pt>
                <c:pt idx="16">
                  <c:v>65.772827570124804</c:v>
                </c:pt>
                <c:pt idx="17">
                  <c:v>64.327047567595699</c:v>
                </c:pt>
                <c:pt idx="18">
                  <c:v>63.034086267716198</c:v>
                </c:pt>
                <c:pt idx="19">
                  <c:v>61.869436078178303</c:v>
                </c:pt>
                <c:pt idx="20">
                  <c:v>60.813747872398203</c:v>
                </c:pt>
                <c:pt idx="21">
                  <c:v>59.851511852704</c:v>
                </c:pt>
                <c:pt idx="22">
                  <c:v>58.970137008049001</c:v>
                </c:pt>
                <c:pt idx="23">
                  <c:v>58.159276931937697</c:v>
                </c:pt>
                <c:pt idx="24">
                  <c:v>57.410344895945101</c:v>
                </c:pt>
                <c:pt idx="25">
                  <c:v>56.716142655988897</c:v>
                </c:pt>
                <c:pt idx="26">
                  <c:v>56.070587568892499</c:v>
                </c:pt>
                <c:pt idx="27">
                  <c:v>54.3775583665944</c:v>
                </c:pt>
                <c:pt idx="28">
                  <c:v>52.973809572024301</c:v>
                </c:pt>
                <c:pt idx="29">
                  <c:v>51.788979206067701</c:v>
                </c:pt>
                <c:pt idx="30">
                  <c:v>50.774434827970303</c:v>
                </c:pt>
                <c:pt idx="31">
                  <c:v>49.8953542453173</c:v>
                </c:pt>
                <c:pt idx="32">
                  <c:v>49.126065617581702</c:v>
                </c:pt>
                <c:pt idx="33">
                  <c:v>48.447175681601003</c:v>
                </c:pt>
                <c:pt idx="34">
                  <c:v>47.843726974461902</c:v>
                </c:pt>
                <c:pt idx="35">
                  <c:v>47.3039750591076</c:v>
                </c:pt>
                <c:pt idx="36">
                  <c:v>46.818554487989097</c:v>
                </c:pt>
                <c:pt idx="37">
                  <c:v>46.37989339085</c:v>
                </c:pt>
                <c:pt idx="38">
                  <c:v>45.981795865366003</c:v>
                </c:pt>
                <c:pt idx="39">
                  <c:v>45.619137449616801</c:v>
                </c:pt>
                <c:pt idx="40">
                  <c:v>45.287637837855002</c:v>
                </c:pt>
                <c:pt idx="41">
                  <c:v>44.9836912669643</c:v>
                </c:pt>
                <c:pt idx="42">
                  <c:v>44.704235701190498</c:v>
                </c:pt>
                <c:pt idx="43">
                  <c:v>44.446652012393201</c:v>
                </c:pt>
                <c:pt idx="44">
                  <c:v>44.208685423260597</c:v>
                </c:pt>
                <c:pt idx="45">
                  <c:v>43.988382670206597</c:v>
                </c:pt>
                <c:pt idx="46">
                  <c:v>43.784042603311399</c:v>
                </c:pt>
                <c:pt idx="47">
                  <c:v>43.594175821451302</c:v>
                </c:pt>
                <c:pt idx="48">
                  <c:v>43.417472010238498</c:v>
                </c:pt>
                <c:pt idx="49">
                  <c:v>43.252773536064403</c:v>
                </c:pt>
                <c:pt idx="50">
                  <c:v>43.099053266832598</c:v>
                </c:pt>
                <c:pt idx="51">
                  <c:v>42.955396426679499</c:v>
                </c:pt>
                <c:pt idx="52">
                  <c:v>42.820985289918198</c:v>
                </c:pt>
                <c:pt idx="53">
                  <c:v>42.128301888616399</c:v>
                </c:pt>
                <c:pt idx="54">
                  <c:v>40.731230205476301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7E8-42D6-B27A-9C130B3997B3}"/>
            </c:ext>
          </c:extLst>
        </c:ser>
        <c:ser>
          <c:idx val="3"/>
          <c:order val="3"/>
          <c:spPr>
            <a:ln w="0">
              <a:noFill/>
            </a:ln>
          </c:spPr>
          <c:marker>
            <c:symbol val="x"/>
            <c:size val="5"/>
            <c:spPr>
              <a:solidFill>
                <a:srgbClr val="00FF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'Oil-Based Mud 1'!$AV$16:$AV$70</c:f>
              <c:numCache>
                <c:formatCode>0.00</c:formatCode>
                <c:ptCount val="55"/>
                <c:pt idx="0" formatCode="General">
                  <c:v>0</c:v>
                </c:pt>
                <c:pt idx="1">
                  <c:v>1</c:v>
                </c:pt>
                <c:pt idx="2" formatCode="General">
                  <c:v>2</c:v>
                </c:pt>
                <c:pt idx="3" formatCode="General">
                  <c:v>5</c:v>
                </c:pt>
                <c:pt idx="4" formatCode="General">
                  <c:v>10</c:v>
                </c:pt>
                <c:pt idx="5" formatCode="General">
                  <c:v>20</c:v>
                </c:pt>
                <c:pt idx="6" formatCode="General">
                  <c:v>30</c:v>
                </c:pt>
                <c:pt idx="7" formatCode="General">
                  <c:v>35</c:v>
                </c:pt>
                <c:pt idx="8" formatCode="General">
                  <c:v>45</c:v>
                </c:pt>
                <c:pt idx="9" formatCode="General">
                  <c:v>55</c:v>
                </c:pt>
                <c:pt idx="10" formatCode="General">
                  <c:v>65</c:v>
                </c:pt>
                <c:pt idx="11" formatCode="General">
                  <c:v>75</c:v>
                </c:pt>
                <c:pt idx="12" formatCode="General">
                  <c:v>85</c:v>
                </c:pt>
                <c:pt idx="13" formatCode="General">
                  <c:v>95</c:v>
                </c:pt>
                <c:pt idx="14" formatCode="General">
                  <c:v>105</c:v>
                </c:pt>
                <c:pt idx="15" formatCode="General">
                  <c:v>115</c:v>
                </c:pt>
                <c:pt idx="16" formatCode="General">
                  <c:v>125</c:v>
                </c:pt>
                <c:pt idx="17" formatCode="General">
                  <c:v>135</c:v>
                </c:pt>
                <c:pt idx="18" formatCode="General">
                  <c:v>145</c:v>
                </c:pt>
                <c:pt idx="19" formatCode="General">
                  <c:v>155</c:v>
                </c:pt>
                <c:pt idx="20" formatCode="General">
                  <c:v>165</c:v>
                </c:pt>
                <c:pt idx="21" formatCode="General">
                  <c:v>175</c:v>
                </c:pt>
                <c:pt idx="22" formatCode="General">
                  <c:v>185</c:v>
                </c:pt>
                <c:pt idx="23" formatCode="General">
                  <c:v>195</c:v>
                </c:pt>
                <c:pt idx="24" formatCode="General">
                  <c:v>205</c:v>
                </c:pt>
                <c:pt idx="25" formatCode="General">
                  <c:v>215</c:v>
                </c:pt>
                <c:pt idx="26" formatCode="General">
                  <c:v>225</c:v>
                </c:pt>
                <c:pt idx="27" formatCode="General">
                  <c:v>255</c:v>
                </c:pt>
                <c:pt idx="28" formatCode="General">
                  <c:v>285</c:v>
                </c:pt>
                <c:pt idx="29" formatCode="General">
                  <c:v>385</c:v>
                </c:pt>
                <c:pt idx="30" formatCode="General">
                  <c:v>485</c:v>
                </c:pt>
                <c:pt idx="31" formatCode="General">
                  <c:v>585</c:v>
                </c:pt>
                <c:pt idx="32" formatCode="General">
                  <c:v>685</c:v>
                </c:pt>
                <c:pt idx="33" formatCode="General">
                  <c:v>785</c:v>
                </c:pt>
                <c:pt idx="34" formatCode="General">
                  <c:v>885</c:v>
                </c:pt>
                <c:pt idx="35" formatCode="General">
                  <c:v>985</c:v>
                </c:pt>
                <c:pt idx="36" formatCode="General">
                  <c:v>1085</c:v>
                </c:pt>
                <c:pt idx="37" formatCode="General">
                  <c:v>1185</c:v>
                </c:pt>
                <c:pt idx="38" formatCode="General">
                  <c:v>1285</c:v>
                </c:pt>
                <c:pt idx="39" formatCode="General">
                  <c:v>1385</c:v>
                </c:pt>
                <c:pt idx="40" formatCode="General">
                  <c:v>1485</c:v>
                </c:pt>
                <c:pt idx="41" formatCode="General">
                  <c:v>1585</c:v>
                </c:pt>
                <c:pt idx="42" formatCode="General">
                  <c:v>1685</c:v>
                </c:pt>
                <c:pt idx="43" formatCode="General">
                  <c:v>1785</c:v>
                </c:pt>
                <c:pt idx="44" formatCode="General">
                  <c:v>1885</c:v>
                </c:pt>
                <c:pt idx="45" formatCode="General">
                  <c:v>1985</c:v>
                </c:pt>
                <c:pt idx="46" formatCode="General">
                  <c:v>2085</c:v>
                </c:pt>
                <c:pt idx="47" formatCode="General">
                  <c:v>2585</c:v>
                </c:pt>
                <c:pt idx="48" formatCode="General">
                  <c:v>2785</c:v>
                </c:pt>
                <c:pt idx="49" formatCode="General">
                  <c:v>2985</c:v>
                </c:pt>
                <c:pt idx="50" formatCode="General">
                  <c:v>3185</c:v>
                </c:pt>
                <c:pt idx="51" formatCode="General">
                  <c:v>3385</c:v>
                </c:pt>
                <c:pt idx="52" formatCode="General">
                  <c:v>3585</c:v>
                </c:pt>
                <c:pt idx="53" formatCode="General">
                  <c:v>3420</c:v>
                </c:pt>
                <c:pt idx="54">
                  <c:v>3420</c:v>
                </c:pt>
              </c:numCache>
            </c:numRef>
          </c:xVal>
          <c:yVal>
            <c:numRef>
              <c:f>'Oil-Based Mud 1'!$AL$16:$AL$70</c:f>
              <c:numCache>
                <c:formatCode>0.00</c:formatCode>
                <c:ptCount val="55"/>
                <c:pt idx="0" formatCode="General">
                  <c:v>0</c:v>
                </c:pt>
                <c:pt idx="1">
                  <c:v>84.814010071150804</c:v>
                </c:pt>
                <c:pt idx="2">
                  <c:v>102.015704375041</c:v>
                </c:pt>
                <c:pt idx="3">
                  <c:v>135.56520624782499</c:v>
                </c:pt>
                <c:pt idx="4">
                  <c:v>165.590447795296</c:v>
                </c:pt>
                <c:pt idx="5">
                  <c:v>194.55589012610099</c:v>
                </c:pt>
                <c:pt idx="6">
                  <c:v>209.580200916678</c:v>
                </c:pt>
                <c:pt idx="7">
                  <c:v>214.81735301446099</c:v>
                </c:pt>
                <c:pt idx="8">
                  <c:v>222.765788460713</c:v>
                </c:pt>
                <c:pt idx="9">
                  <c:v>228.585261800317</c:v>
                </c:pt>
                <c:pt idx="10">
                  <c:v>233.07791438178401</c:v>
                </c:pt>
                <c:pt idx="11">
                  <c:v>236.67816357278801</c:v>
                </c:pt>
                <c:pt idx="12">
                  <c:v>239.64440911302501</c:v>
                </c:pt>
                <c:pt idx="13">
                  <c:v>242.14123154427</c:v>
                </c:pt>
                <c:pt idx="14">
                  <c:v>244.27907447592801</c:v>
                </c:pt>
                <c:pt idx="15">
                  <c:v>246.13516546424</c:v>
                </c:pt>
                <c:pt idx="16">
                  <c:v>247.765348438171</c:v>
                </c:pt>
                <c:pt idx="17">
                  <c:v>249.21112844070001</c:v>
                </c:pt>
                <c:pt idx="18">
                  <c:v>250.50408974058001</c:v>
                </c:pt>
                <c:pt idx="19">
                  <c:v>251.668739930117</c:v>
                </c:pt>
                <c:pt idx="20">
                  <c:v>252.72442813589799</c:v>
                </c:pt>
                <c:pt idx="21">
                  <c:v>253.68666415559201</c:v>
                </c:pt>
                <c:pt idx="22">
                  <c:v>254.56803900024701</c:v>
                </c:pt>
                <c:pt idx="23">
                  <c:v>255.37889907635801</c:v>
                </c:pt>
                <c:pt idx="24">
                  <c:v>256.12783111235098</c:v>
                </c:pt>
                <c:pt idx="25">
                  <c:v>256.82203335230702</c:v>
                </c:pt>
                <c:pt idx="26">
                  <c:v>257.46758843940302</c:v>
                </c:pt>
                <c:pt idx="27">
                  <c:v>259.16061764170098</c:v>
                </c:pt>
                <c:pt idx="28">
                  <c:v>260.56436643627097</c:v>
                </c:pt>
                <c:pt idx="29">
                  <c:v>261.74919680222803</c:v>
                </c:pt>
                <c:pt idx="30">
                  <c:v>262.76374118032498</c:v>
                </c:pt>
                <c:pt idx="31">
                  <c:v>263.64282176297797</c:v>
                </c:pt>
                <c:pt idx="32">
                  <c:v>264.41211039071402</c:v>
                </c:pt>
                <c:pt idx="33">
                  <c:v>265.091000326695</c:v>
                </c:pt>
                <c:pt idx="34">
                  <c:v>265.69444903383402</c:v>
                </c:pt>
                <c:pt idx="35">
                  <c:v>266.23420094918799</c:v>
                </c:pt>
                <c:pt idx="36">
                  <c:v>266.71962152030699</c:v>
                </c:pt>
                <c:pt idx="37">
                  <c:v>267.15828261744599</c:v>
                </c:pt>
                <c:pt idx="38">
                  <c:v>267.55638014292998</c:v>
                </c:pt>
                <c:pt idx="39">
                  <c:v>267.91903855867901</c:v>
                </c:pt>
                <c:pt idx="40">
                  <c:v>268.25053817044102</c:v>
                </c:pt>
                <c:pt idx="41">
                  <c:v>268.55448474133101</c:v>
                </c:pt>
                <c:pt idx="42">
                  <c:v>268.83394030710502</c:v>
                </c:pt>
                <c:pt idx="43">
                  <c:v>269.09152399590198</c:v>
                </c:pt>
                <c:pt idx="44">
                  <c:v>269.32949058503499</c:v>
                </c:pt>
                <c:pt idx="45">
                  <c:v>269.54979333808899</c:v>
                </c:pt>
                <c:pt idx="46">
                  <c:v>269.75413340498397</c:v>
                </c:pt>
                <c:pt idx="47">
                  <c:v>269.94400018684399</c:v>
                </c:pt>
                <c:pt idx="48">
                  <c:v>270.12070399805702</c:v>
                </c:pt>
                <c:pt idx="49">
                  <c:v>270.285402472231</c:v>
                </c:pt>
                <c:pt idx="50">
                  <c:v>270.439122741463</c:v>
                </c:pt>
                <c:pt idx="51">
                  <c:v>270.58277958161602</c:v>
                </c:pt>
                <c:pt idx="52">
                  <c:v>270.71719071837799</c:v>
                </c:pt>
                <c:pt idx="53">
                  <c:v>271.40987411967899</c:v>
                </c:pt>
                <c:pt idx="54">
                  <c:v>272.80694580281897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7E8-42D6-B27A-9C130B399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76688"/>
        <c:axId val="59324582"/>
      </c:scatterChart>
      <c:valAx>
        <c:axId val="59776688"/>
        <c:scaling>
          <c:orientation val="minMax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80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Time (min)</a:t>
                </a:r>
              </a:p>
            </c:rich>
          </c:tx>
          <c:layout>
            <c:manualLayout>
              <c:xMode val="edge"/>
              <c:yMode val="edge"/>
              <c:x val="0.44131172257821299"/>
              <c:y val="0.91536171864889404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00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59324582"/>
        <c:crosses val="autoZero"/>
        <c:crossBetween val="midCat"/>
      </c:valAx>
      <c:valAx>
        <c:axId val="59324582"/>
        <c:scaling>
          <c:orientation val="minMax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80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Filteration pressure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00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59776688"/>
        <c:crosses val="autoZero"/>
        <c:crossBetween val="midCat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legendPos val="r"/>
      <c:layout>
        <c:manualLayout>
          <c:xMode val="edge"/>
          <c:yMode val="edge"/>
          <c:x val="0.43950245005653998"/>
          <c:y val="0.31461110392131503"/>
          <c:w val="0.43614294330518699"/>
          <c:h val="0.39710069893864902"/>
        </c:manualLayout>
      </c:layout>
      <c:overlay val="0"/>
      <c:spPr>
        <a:solidFill>
          <a:srgbClr val="FFFFFF"/>
        </a:solidFill>
        <a:ln w="0">
          <a:solidFill>
            <a:srgbClr val="000000"/>
          </a:solidFill>
        </a:ln>
      </c:spPr>
      <c:txPr>
        <a:bodyPr/>
        <a:lstStyle/>
        <a:p>
          <a:pPr>
            <a:defRPr sz="800" b="1" u="none" strike="noStrike">
              <a:solidFill>
                <a:srgbClr val="000000"/>
              </a:solidFill>
              <a:uFillTx/>
              <a:latin typeface="Times New Roman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7585022890778301"/>
          <c:y val="7.5980392156862697E-2"/>
          <c:w val="0.49190647482014399"/>
          <c:h val="0.70652734778121795"/>
        </c:manualLayout>
      </c:layout>
      <c:scatterChart>
        <c:scatterStyle val="lineMarker"/>
        <c:varyColors val="0"/>
        <c:ser>
          <c:idx val="0"/>
          <c:order val="0"/>
          <c:spPr>
            <a:ln w="0">
              <a:solidFill>
                <a:srgbClr val="000080"/>
              </a:solidFill>
            </a:ln>
          </c:spPr>
          <c:marker>
            <c:symbol val="diamond"/>
            <c:size val="3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'Oil-Based Mud 1'!$BP$16:$BP$78</c:f>
              <c:numCache>
                <c:formatCode>General</c:formatCode>
                <c:ptCount val="63"/>
                <c:pt idx="0">
                  <c:v>31.35813597682095</c:v>
                </c:pt>
                <c:pt idx="1">
                  <c:v>30.896282527964217</c:v>
                </c:pt>
                <c:pt idx="2">
                  <c:v>30.427419479061665</c:v>
                </c:pt>
                <c:pt idx="3">
                  <c:v>29.951217642389363</c:v>
                </c:pt>
                <c:pt idx="4">
                  <c:v>29.467321228248252</c:v>
                </c:pt>
                <c:pt idx="5">
                  <c:v>28.975344734373127</c:v>
                </c:pt>
                <c:pt idx="6">
                  <c:v>28.47486935146075</c:v>
                </c:pt>
                <c:pt idx="7">
                  <c:v>28.221303577904688</c:v>
                </c:pt>
                <c:pt idx="8">
                  <c:v>27.965438789508617</c:v>
                </c:pt>
                <c:pt idx="9">
                  <c:v>27.707211294954433</c:v>
                </c:pt>
                <c:pt idx="10">
                  <c:v>27.446554406641784</c:v>
                </c:pt>
                <c:pt idx="11">
                  <c:v>27.183398239555054</c:v>
                </c:pt>
                <c:pt idx="12">
                  <c:v>26.917669492430839</c:v>
                </c:pt>
                <c:pt idx="13">
                  <c:v>26.649291209284332</c:v>
                </c:pt>
                <c:pt idx="14">
                  <c:v>26.378182519095898</c:v>
                </c:pt>
                <c:pt idx="15">
                  <c:v>26.104258351162429</c:v>
                </c:pt>
                <c:pt idx="16">
                  <c:v>25.827429123273781</c:v>
                </c:pt>
                <c:pt idx="17">
                  <c:v>25.547600399474465</c:v>
                </c:pt>
                <c:pt idx="18">
                  <c:v>25.264672513704291</c:v>
                </c:pt>
                <c:pt idx="19">
                  <c:v>24.978540155065552</c:v>
                </c:pt>
                <c:pt idx="20">
                  <c:v>24.689091909823645</c:v>
                </c:pt>
                <c:pt idx="21">
                  <c:v>24.396209754492943</c:v>
                </c:pt>
                <c:pt idx="22">
                  <c:v>24.099768493467188</c:v>
                </c:pt>
                <c:pt idx="23">
                  <c:v>23.79963513359419</c:v>
                </c:pt>
                <c:pt idx="24">
                  <c:v>23.495668186831974</c:v>
                </c:pt>
                <c:pt idx="25">
                  <c:v>23.187716890612695</c:v>
                </c:pt>
                <c:pt idx="26">
                  <c:v>22.875620333724338</c:v>
                </c:pt>
                <c:pt idx="27">
                  <c:v>22.55920647332702</c:v>
                </c:pt>
                <c:pt idx="28">
                  <c:v>22.238291026059013</c:v>
                </c:pt>
                <c:pt idx="29">
                  <c:v>21.912676212941083</c:v>
                </c:pt>
                <c:pt idx="30">
                  <c:v>21.582149333805731</c:v>
                </c:pt>
                <c:pt idx="31">
                  <c:v>21.246481142066521</c:v>
                </c:pt>
                <c:pt idx="32">
                  <c:v>20.905423984547301</c:v>
                </c:pt>
                <c:pt idx="33">
                  <c:v>20.558709663477977</c:v>
                </c:pt>
                <c:pt idx="34">
                  <c:v>20.206046968189497</c:v>
                </c:pt>
                <c:pt idx="35">
                  <c:v>19.847118811912654</c:v>
                </c:pt>
                <c:pt idx="36">
                  <c:v>19.481578893602908</c:v>
                </c:pt>
                <c:pt idx="37">
                  <c:v>19.109047784784345</c:v>
                </c:pt>
                <c:pt idx="38">
                  <c:v>18.729108315525028</c:v>
                </c:pt>
                <c:pt idx="39">
                  <c:v>18.341300099724826</c:v>
                </c:pt>
                <c:pt idx="40">
                  <c:v>17.945112994953892</c:v>
                </c:pt>
                <c:pt idx="41">
                  <c:v>17.53997923189079</c:v>
                </c:pt>
                <c:pt idx="42">
                  <c:v>17.125263866833045</c:v>
                </c:pt>
                <c:pt idx="43">
                  <c:v>16.700253098745378</c:v>
                </c:pt>
                <c:pt idx="44">
                  <c:v>16.264139836328628</c:v>
                </c:pt>
                <c:pt idx="45">
                  <c:v>15.816005679979664</c:v>
                </c:pt>
                <c:pt idx="46">
                  <c:v>15.354798166131854</c:v>
                </c:pt>
                <c:pt idx="47">
                  <c:v>14.87930165619823</c:v>
                </c:pt>
                <c:pt idx="48">
                  <c:v>14.388099555870488</c:v>
                </c:pt>
                <c:pt idx="49">
                  <c:v>13.879524483322104</c:v>
                </c:pt>
                <c:pt idx="50">
                  <c:v>13.351591326004362</c:v>
                </c:pt>
                <c:pt idx="51">
                  <c:v>12.801905404670514</c:v>
                </c:pt>
                <c:pt idx="52">
                  <c:v>12.227533399816549</c:v>
                </c:pt>
                <c:pt idx="53">
                  <c:v>11.624816733915699</c:v>
                </c:pt>
                <c:pt idx="54">
                  <c:v>10.989092553556169</c:v>
                </c:pt>
                <c:pt idx="55">
                  <c:v>10.314259362849125</c:v>
                </c:pt>
                <c:pt idx="56">
                  <c:v>9.5920663705803264</c:v>
                </c:pt>
                <c:pt idx="57">
                  <c:v>8.8108755700619898</c:v>
                </c:pt>
                <c:pt idx="58">
                  <c:v>7.9533212788502636</c:v>
                </c:pt>
                <c:pt idx="59">
                  <c:v>6.9913596973771543</c:v>
                </c:pt>
                <c:pt idx="60">
                  <c:v>5.8739170467079935</c:v>
                </c:pt>
                <c:pt idx="61">
                  <c:v>4.4862782487384729</c:v>
                </c:pt>
                <c:pt idx="62">
                  <c:v>2.3980165926450816</c:v>
                </c:pt>
              </c:numCache>
            </c:numRef>
          </c:xVal>
          <c:yVal>
            <c:numRef>
              <c:f>'Oil-Based Mud 1'!$BO$16:$BO$78</c:f>
              <c:numCache>
                <c:formatCode>General</c:formatCode>
                <c:ptCount val="63"/>
                <c:pt idx="0">
                  <c:v>3420</c:v>
                </c:pt>
                <c:pt idx="1">
                  <c:v>3320</c:v>
                </c:pt>
                <c:pt idx="2">
                  <c:v>3220</c:v>
                </c:pt>
                <c:pt idx="3">
                  <c:v>3120</c:v>
                </c:pt>
                <c:pt idx="4">
                  <c:v>3020</c:v>
                </c:pt>
                <c:pt idx="5">
                  <c:v>2920</c:v>
                </c:pt>
                <c:pt idx="6">
                  <c:v>2820</c:v>
                </c:pt>
                <c:pt idx="7">
                  <c:v>2770</c:v>
                </c:pt>
                <c:pt idx="8">
                  <c:v>2720</c:v>
                </c:pt>
                <c:pt idx="9">
                  <c:v>2670</c:v>
                </c:pt>
                <c:pt idx="10">
                  <c:v>2620</c:v>
                </c:pt>
                <c:pt idx="11">
                  <c:v>2570</c:v>
                </c:pt>
                <c:pt idx="12">
                  <c:v>2520</c:v>
                </c:pt>
                <c:pt idx="13">
                  <c:v>2470</c:v>
                </c:pt>
                <c:pt idx="14">
                  <c:v>2420</c:v>
                </c:pt>
                <c:pt idx="15">
                  <c:v>2370</c:v>
                </c:pt>
                <c:pt idx="16">
                  <c:v>2320</c:v>
                </c:pt>
                <c:pt idx="17">
                  <c:v>2270</c:v>
                </c:pt>
                <c:pt idx="18">
                  <c:v>2220</c:v>
                </c:pt>
                <c:pt idx="19">
                  <c:v>2170</c:v>
                </c:pt>
                <c:pt idx="20">
                  <c:v>2120</c:v>
                </c:pt>
                <c:pt idx="21">
                  <c:v>2070</c:v>
                </c:pt>
                <c:pt idx="22">
                  <c:v>2020</c:v>
                </c:pt>
                <c:pt idx="23">
                  <c:v>1970</c:v>
                </c:pt>
                <c:pt idx="24">
                  <c:v>1920</c:v>
                </c:pt>
                <c:pt idx="25">
                  <c:v>1870</c:v>
                </c:pt>
                <c:pt idx="26">
                  <c:v>1820</c:v>
                </c:pt>
                <c:pt idx="27">
                  <c:v>1770</c:v>
                </c:pt>
                <c:pt idx="28">
                  <c:v>1720</c:v>
                </c:pt>
                <c:pt idx="29">
                  <c:v>1670</c:v>
                </c:pt>
                <c:pt idx="30">
                  <c:v>1620</c:v>
                </c:pt>
                <c:pt idx="31">
                  <c:v>1570</c:v>
                </c:pt>
                <c:pt idx="32">
                  <c:v>1520</c:v>
                </c:pt>
                <c:pt idx="33">
                  <c:v>1470</c:v>
                </c:pt>
                <c:pt idx="34">
                  <c:v>1420</c:v>
                </c:pt>
                <c:pt idx="35">
                  <c:v>1370</c:v>
                </c:pt>
                <c:pt idx="36">
                  <c:v>1320</c:v>
                </c:pt>
                <c:pt idx="37">
                  <c:v>1270</c:v>
                </c:pt>
                <c:pt idx="38">
                  <c:v>1220</c:v>
                </c:pt>
                <c:pt idx="39">
                  <c:v>1170</c:v>
                </c:pt>
                <c:pt idx="40">
                  <c:v>1120</c:v>
                </c:pt>
                <c:pt idx="41">
                  <c:v>1070</c:v>
                </c:pt>
                <c:pt idx="42">
                  <c:v>1020</c:v>
                </c:pt>
                <c:pt idx="43">
                  <c:v>970</c:v>
                </c:pt>
                <c:pt idx="44">
                  <c:v>920</c:v>
                </c:pt>
                <c:pt idx="45">
                  <c:v>870</c:v>
                </c:pt>
                <c:pt idx="46">
                  <c:v>820</c:v>
                </c:pt>
                <c:pt idx="47">
                  <c:v>770</c:v>
                </c:pt>
                <c:pt idx="48">
                  <c:v>720</c:v>
                </c:pt>
                <c:pt idx="49">
                  <c:v>670</c:v>
                </c:pt>
                <c:pt idx="50">
                  <c:v>620</c:v>
                </c:pt>
                <c:pt idx="51">
                  <c:v>570</c:v>
                </c:pt>
                <c:pt idx="52">
                  <c:v>520</c:v>
                </c:pt>
                <c:pt idx="53">
                  <c:v>470</c:v>
                </c:pt>
                <c:pt idx="54">
                  <c:v>420</c:v>
                </c:pt>
                <c:pt idx="55">
                  <c:v>370</c:v>
                </c:pt>
                <c:pt idx="56">
                  <c:v>320</c:v>
                </c:pt>
                <c:pt idx="57">
                  <c:v>270</c:v>
                </c:pt>
                <c:pt idx="58">
                  <c:v>220</c:v>
                </c:pt>
                <c:pt idx="59">
                  <c:v>170</c:v>
                </c:pt>
                <c:pt idx="60">
                  <c:v>120</c:v>
                </c:pt>
                <c:pt idx="61">
                  <c:v>70</c:v>
                </c:pt>
                <c:pt idx="62">
                  <c:v>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8E8-4635-8247-A2B45A6B11F3}"/>
            </c:ext>
          </c:extLst>
        </c:ser>
        <c:ser>
          <c:idx val="1"/>
          <c:order val="1"/>
          <c:spPr>
            <a:ln w="0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'Oil-Based Mud 1'!$BX$16:$BX$78</c:f>
              <c:numCache>
                <c:formatCode>General</c:formatCode>
                <c:ptCount val="63"/>
                <c:pt idx="0">
                  <c:v>43.435682093190543</c:v>
                </c:pt>
                <c:pt idx="1">
                  <c:v>42.795946376979181</c:v>
                </c:pt>
                <c:pt idx="2">
                  <c:v>42.146501322195682</c:v>
                </c:pt>
                <c:pt idx="3">
                  <c:v>41.486890954883634</c:v>
                </c:pt>
                <c:pt idx="4">
                  <c:v>40.816622453394771</c:v>
                </c:pt>
                <c:pt idx="5">
                  <c:v>40.135161839757586</c:v>
                </c:pt>
                <c:pt idx="6">
                  <c:v>39.441929000799355</c:v>
                </c:pt>
                <c:pt idx="7">
                  <c:v>39.090702692640093</c:v>
                </c:pt>
                <c:pt idx="8">
                  <c:v>38.736291907004492</c:v>
                </c:pt>
                <c:pt idx="9">
                  <c:v>38.378608421944421</c:v>
                </c:pt>
                <c:pt idx="10">
                  <c:v>38.017559865215247</c:v>
                </c:pt>
                <c:pt idx="11">
                  <c:v>37.653049435676614</c:v>
                </c:pt>
                <c:pt idx="12">
                  <c:v>37.284975600176935</c:v>
                </c:pt>
                <c:pt idx="13">
                  <c:v>36.913231763231884</c:v>
                </c:pt>
                <c:pt idx="14">
                  <c:v>36.53770590645167</c:v>
                </c:pt>
                <c:pt idx="15">
                  <c:v>36.158280194260279</c:v>
                </c:pt>
                <c:pt idx="16">
                  <c:v>35.774830541973465</c:v>
                </c:pt>
                <c:pt idx="17">
                  <c:v>35.387226141747803</c:v>
                </c:pt>
                <c:pt idx="18">
                  <c:v>34.995328941267019</c:v>
                </c:pt>
                <c:pt idx="19">
                  <c:v>34.598993069275338</c:v>
                </c:pt>
                <c:pt idx="20">
                  <c:v>34.19806420118023</c:v>
                </c:pt>
                <c:pt idx="21">
                  <c:v>33.79237885690096</c:v>
                </c:pt>
                <c:pt idx="22">
                  <c:v>33.381763621903033</c:v>
                </c:pt>
                <c:pt idx="23">
                  <c:v>32.966034280891158</c:v>
                </c:pt>
                <c:pt idx="24">
                  <c:v>32.544994851884255</c:v>
                </c:pt>
                <c:pt idx="25">
                  <c:v>32.118436506303581</c:v>
                </c:pt>
                <c:pt idx="26">
                  <c:v>31.68613635818884</c:v>
                </c:pt>
                <c:pt idx="27">
                  <c:v>31.247856102619565</c:v>
                </c:pt>
                <c:pt idx="28">
                  <c:v>30.803340479732075</c:v>
                </c:pt>
                <c:pt idx="29">
                  <c:v>30.352315536225284</c:v>
                </c:pt>
                <c:pt idx="30">
                  <c:v>29.894486650733182</c:v>
                </c:pt>
                <c:pt idx="31">
                  <c:v>29.429536282638679</c:v>
                </c:pt>
                <c:pt idx="32">
                  <c:v>28.957121395460366</c:v>
                </c:pt>
                <c:pt idx="33">
                  <c:v>28.476870495398725</c:v>
                </c:pt>
                <c:pt idx="34">
                  <c:v>27.988380212366568</c:v>
                </c:pt>
                <c:pt idx="35">
                  <c:v>27.491211334029543</c:v>
                </c:pt>
                <c:pt idx="36">
                  <c:v>26.984884181937048</c:v>
                </c:pt>
                <c:pt idx="37">
                  <c:v>26.468873191219117</c:v>
                </c:pt>
                <c:pt idx="38">
                  <c:v>25.942600519476073</c:v>
                </c:pt>
                <c:pt idx="39">
                  <c:v>25.405428463487922</c:v>
                </c:pt>
                <c:pt idx="40">
                  <c:v>24.856650400117957</c:v>
                </c:pt>
                <c:pt idx="41">
                  <c:v>24.295479884414018</c:v>
                </c:pt>
                <c:pt idx="42">
                  <c:v>23.721037424915632</c:v>
                </c:pt>
                <c:pt idx="43">
                  <c:v>23.13233430102829</c:v>
                </c:pt>
                <c:pt idx="44">
                  <c:v>22.528252571267306</c:v>
                </c:pt>
                <c:pt idx="45">
                  <c:v>21.90752011559259</c:v>
                </c:pt>
                <c:pt idx="46">
                  <c:v>21.268679115435823</c:v>
                </c:pt>
                <c:pt idx="47">
                  <c:v>20.610045730557172</c:v>
                </c:pt>
                <c:pt idx="48">
                  <c:v>19.929657767155458</c:v>
                </c:pt>
                <c:pt idx="49">
                  <c:v>19.225205653418165</c:v>
                </c:pt>
                <c:pt idx="50">
                  <c:v>18.493939713227782</c:v>
                </c:pt>
                <c:pt idx="51">
                  <c:v>17.73254295967687</c:v>
                </c:pt>
                <c:pt idx="52">
                  <c:v>16.936952308991948</c:v>
                </c:pt>
                <c:pt idx="53">
                  <c:v>16.102100087173401</c:v>
                </c:pt>
                <c:pt idx="54">
                  <c:v>15.221527548759079</c:v>
                </c:pt>
                <c:pt idx="55">
                  <c:v>14.286783214492811</c:v>
                </c:pt>
                <c:pt idx="56">
                  <c:v>13.286438511436971</c:v>
                </c:pt>
                <c:pt idx="57">
                  <c:v>12.204373069456597</c:v>
                </c:pt>
                <c:pt idx="58">
                  <c:v>11.016532835641138</c:v>
                </c:pt>
                <c:pt idx="59">
                  <c:v>9.6840729767511231</c:v>
                </c:pt>
                <c:pt idx="60">
                  <c:v>8.1362487129710637</c:v>
                </c:pt>
                <c:pt idx="61">
                  <c:v>6.2141626000294892</c:v>
                </c:pt>
                <c:pt idx="62">
                  <c:v>3.3216096278592429</c:v>
                </c:pt>
              </c:numCache>
            </c:numRef>
          </c:xVal>
          <c:yVal>
            <c:numRef>
              <c:f>'Oil-Based Mud 1'!$BO$16:$BO$78</c:f>
              <c:numCache>
                <c:formatCode>General</c:formatCode>
                <c:ptCount val="63"/>
                <c:pt idx="0">
                  <c:v>3420</c:v>
                </c:pt>
                <c:pt idx="1">
                  <c:v>3320</c:v>
                </c:pt>
                <c:pt idx="2">
                  <c:v>3220</c:v>
                </c:pt>
                <c:pt idx="3">
                  <c:v>3120</c:v>
                </c:pt>
                <c:pt idx="4">
                  <c:v>3020</c:v>
                </c:pt>
                <c:pt idx="5">
                  <c:v>2920</c:v>
                </c:pt>
                <c:pt idx="6">
                  <c:v>2820</c:v>
                </c:pt>
                <c:pt idx="7">
                  <c:v>2770</c:v>
                </c:pt>
                <c:pt idx="8">
                  <c:v>2720</c:v>
                </c:pt>
                <c:pt idx="9">
                  <c:v>2670</c:v>
                </c:pt>
                <c:pt idx="10">
                  <c:v>2620</c:v>
                </c:pt>
                <c:pt idx="11">
                  <c:v>2570</c:v>
                </c:pt>
                <c:pt idx="12">
                  <c:v>2520</c:v>
                </c:pt>
                <c:pt idx="13">
                  <c:v>2470</c:v>
                </c:pt>
                <c:pt idx="14">
                  <c:v>2420</c:v>
                </c:pt>
                <c:pt idx="15">
                  <c:v>2370</c:v>
                </c:pt>
                <c:pt idx="16">
                  <c:v>2320</c:v>
                </c:pt>
                <c:pt idx="17">
                  <c:v>2270</c:v>
                </c:pt>
                <c:pt idx="18">
                  <c:v>2220</c:v>
                </c:pt>
                <c:pt idx="19">
                  <c:v>2170</c:v>
                </c:pt>
                <c:pt idx="20">
                  <c:v>2120</c:v>
                </c:pt>
                <c:pt idx="21">
                  <c:v>2070</c:v>
                </c:pt>
                <c:pt idx="22">
                  <c:v>2020</c:v>
                </c:pt>
                <c:pt idx="23">
                  <c:v>1970</c:v>
                </c:pt>
                <c:pt idx="24">
                  <c:v>1920</c:v>
                </c:pt>
                <c:pt idx="25">
                  <c:v>1870</c:v>
                </c:pt>
                <c:pt idx="26">
                  <c:v>1820</c:v>
                </c:pt>
                <c:pt idx="27">
                  <c:v>1770</c:v>
                </c:pt>
                <c:pt idx="28">
                  <c:v>1720</c:v>
                </c:pt>
                <c:pt idx="29">
                  <c:v>1670</c:v>
                </c:pt>
                <c:pt idx="30">
                  <c:v>1620</c:v>
                </c:pt>
                <c:pt idx="31">
                  <c:v>1570</c:v>
                </c:pt>
                <c:pt idx="32">
                  <c:v>1520</c:v>
                </c:pt>
                <c:pt idx="33">
                  <c:v>1470</c:v>
                </c:pt>
                <c:pt idx="34">
                  <c:v>1420</c:v>
                </c:pt>
                <c:pt idx="35">
                  <c:v>1370</c:v>
                </c:pt>
                <c:pt idx="36">
                  <c:v>1320</c:v>
                </c:pt>
                <c:pt idx="37">
                  <c:v>1270</c:v>
                </c:pt>
                <c:pt idx="38">
                  <c:v>1220</c:v>
                </c:pt>
                <c:pt idx="39">
                  <c:v>1170</c:v>
                </c:pt>
                <c:pt idx="40">
                  <c:v>1120</c:v>
                </c:pt>
                <c:pt idx="41">
                  <c:v>1070</c:v>
                </c:pt>
                <c:pt idx="42">
                  <c:v>1020</c:v>
                </c:pt>
                <c:pt idx="43">
                  <c:v>970</c:v>
                </c:pt>
                <c:pt idx="44">
                  <c:v>920</c:v>
                </c:pt>
                <c:pt idx="45">
                  <c:v>870</c:v>
                </c:pt>
                <c:pt idx="46">
                  <c:v>820</c:v>
                </c:pt>
                <c:pt idx="47">
                  <c:v>770</c:v>
                </c:pt>
                <c:pt idx="48">
                  <c:v>720</c:v>
                </c:pt>
                <c:pt idx="49">
                  <c:v>670</c:v>
                </c:pt>
                <c:pt idx="50">
                  <c:v>620</c:v>
                </c:pt>
                <c:pt idx="51">
                  <c:v>570</c:v>
                </c:pt>
                <c:pt idx="52">
                  <c:v>520</c:v>
                </c:pt>
                <c:pt idx="53">
                  <c:v>470</c:v>
                </c:pt>
                <c:pt idx="54">
                  <c:v>420</c:v>
                </c:pt>
                <c:pt idx="55">
                  <c:v>370</c:v>
                </c:pt>
                <c:pt idx="56">
                  <c:v>320</c:v>
                </c:pt>
                <c:pt idx="57">
                  <c:v>270</c:v>
                </c:pt>
                <c:pt idx="58">
                  <c:v>220</c:v>
                </c:pt>
                <c:pt idx="59">
                  <c:v>170</c:v>
                </c:pt>
                <c:pt idx="60">
                  <c:v>120</c:v>
                </c:pt>
                <c:pt idx="61">
                  <c:v>70</c:v>
                </c:pt>
                <c:pt idx="62">
                  <c:v>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8E8-4635-8247-A2B45A6B11F3}"/>
            </c:ext>
          </c:extLst>
        </c:ser>
        <c:ser>
          <c:idx val="2"/>
          <c:order val="2"/>
          <c:spPr>
            <a:ln w="0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'Oil-Based Mud 1'!$BW$16:$BW$78</c:f>
              <c:numCache>
                <c:formatCode>General</c:formatCode>
                <c:ptCount val="63"/>
                <c:pt idx="0">
                  <c:v>59.856751790859597</c:v>
                </c:pt>
                <c:pt idx="1">
                  <c:v>58.975160892969349</c:v>
                </c:pt>
                <c:pt idx="2">
                  <c:v>58.080189994099271</c:v>
                </c:pt>
                <c:pt idx="3">
                  <c:v>57.171210737133393</c:v>
                </c:pt>
                <c:pt idx="4">
                  <c:v>56.247543986815671</c:v>
                </c:pt>
                <c:pt idx="5">
                  <c:v>55.308453892219873</c:v>
                </c:pt>
                <c:pt idx="6">
                  <c:v>54.353141025582495</c:v>
                </c:pt>
                <c:pt idx="7">
                  <c:v>53.869131912871801</c:v>
                </c:pt>
                <c:pt idx="8">
                  <c:v>53.380734415572689</c:v>
                </c:pt>
                <c:pt idx="9">
                  <c:v>52.887826959002872</c:v>
                </c:pt>
                <c:pt idx="10">
                  <c:v>52.390282249143823</c:v>
                </c:pt>
                <c:pt idx="11">
                  <c:v>51.887966888715908</c:v>
                </c:pt>
                <c:pt idx="12">
                  <c:v>51.380740959468476</c:v>
                </c:pt>
                <c:pt idx="13">
                  <c:v>50.868457566978826</c:v>
                </c:pt>
                <c:pt idx="14">
                  <c:v>50.350962343763101</c:v>
                </c:pt>
                <c:pt idx="15">
                  <c:v>49.828092905935833</c:v>
                </c:pt>
                <c:pt idx="16">
                  <c:v>49.299678257997762</c:v>
                </c:pt>
                <c:pt idx="17">
                  <c:v>48.765538139567582</c:v>
                </c:pt>
                <c:pt idx="18">
                  <c:v>48.225482306983146</c:v>
                </c:pt>
                <c:pt idx="19">
                  <c:v>47.679309741654905</c:v>
                </c:pt>
                <c:pt idx="20">
                  <c:v>47.126807775831715</c:v>
                </c:pt>
                <c:pt idx="21">
                  <c:v>46.567751124997606</c:v>
                </c:pt>
                <c:pt idx="22">
                  <c:v>46.001900814414611</c:v>
                </c:pt>
                <c:pt idx="23">
                  <c:v>45.429002985304038</c:v>
                </c:pt>
                <c:pt idx="24">
                  <c:v>44.848787563748999</c:v>
                </c:pt>
                <c:pt idx="25">
                  <c:v>44.260966772516511</c:v>
                </c:pt>
                <c:pt idx="26">
                  <c:v>43.665233462530971</c:v>
                </c:pt>
                <c:pt idx="27">
                  <c:v>43.061259236544146</c:v>
                </c:pt>
                <c:pt idx="28">
                  <c:v>42.448692332466287</c:v>
                </c:pt>
                <c:pt idx="29">
                  <c:v>41.827155227625816</c:v>
                </c:pt>
                <c:pt idx="30">
                  <c:v>41.196241917624356</c:v>
                </c:pt>
                <c:pt idx="31">
                  <c:v>40.555514814078656</c:v>
                </c:pt>
                <c:pt idx="32">
                  <c:v>39.904501193906398</c:v>
                </c:pt>
                <c:pt idx="33">
                  <c:v>39.242689118280374</c:v>
                </c:pt>
                <c:pt idx="34">
                  <c:v>38.569522721100981</c:v>
                </c:pt>
                <c:pt idx="35">
                  <c:v>37.884396743686558</c:v>
                </c:pt>
                <c:pt idx="36">
                  <c:v>37.186650162828222</c:v>
                </c:pt>
                <c:pt idx="37">
                  <c:v>36.475558721314961</c:v>
                </c:pt>
                <c:pt idx="38">
                  <c:v>35.750326120633083</c:v>
                </c:pt>
                <c:pt idx="39">
                  <c:v>35.010073570775937</c:v>
                </c:pt>
                <c:pt idx="40">
                  <c:v>34.253827306312317</c:v>
                </c:pt>
                <c:pt idx="41">
                  <c:v>33.48050356297216</c:v>
                </c:pt>
                <c:pt idx="42">
                  <c:v>32.688890353294575</c:v>
                </c:pt>
                <c:pt idx="43">
                  <c:v>31.877625166082225</c:v>
                </c:pt>
                <c:pt idx="44">
                  <c:v>31.04516741666507</c:v>
                </c:pt>
                <c:pt idx="45">
                  <c:v>30.189764053869091</c:v>
                </c:pt>
                <c:pt idx="46">
                  <c:v>29.309406123765285</c:v>
                </c:pt>
                <c:pt idx="47">
                  <c:v>28.401773202167043</c:v>
                </c:pt>
                <c:pt idx="48">
                  <c:v>27.464161278416235</c:v>
                </c:pt>
                <c:pt idx="49">
                  <c:v>26.493387635906085</c:v>
                </c:pt>
                <c:pt idx="50">
                  <c:v>25.485663070163685</c:v>
                </c:pt>
                <c:pt idx="51">
                  <c:v>24.436416591338205</c:v>
                </c:pt>
                <c:pt idx="52">
                  <c:v>23.340049047183957</c:v>
                </c:pt>
                <c:pt idx="53">
                  <c:v>22.189576905035313</c:v>
                </c:pt>
                <c:pt idx="54">
                  <c:v>20.976099659469593</c:v>
                </c:pt>
                <c:pt idx="55">
                  <c:v>19.68797070862114</c:v>
                </c:pt>
                <c:pt idx="56">
                  <c:v>18.30944085227749</c:v>
                </c:pt>
                <c:pt idx="57">
                  <c:v>16.818295336405878</c:v>
                </c:pt>
                <c:pt idx="58">
                  <c:v>15.181386357052356</c:v>
                </c:pt>
                <c:pt idx="59">
                  <c:v>13.345183603893172</c:v>
                </c:pt>
                <c:pt idx="60">
                  <c:v>11.21219689093725</c:v>
                </c:pt>
                <c:pt idx="61">
                  <c:v>8.5634568265780793</c:v>
                </c:pt>
                <c:pt idx="62">
                  <c:v>4.5773602130693725</c:v>
                </c:pt>
              </c:numCache>
            </c:numRef>
          </c:xVal>
          <c:yVal>
            <c:numRef>
              <c:f>'Oil-Based Mud 1'!$BO$16:$BO$78</c:f>
              <c:numCache>
                <c:formatCode>General</c:formatCode>
                <c:ptCount val="63"/>
                <c:pt idx="0">
                  <c:v>3420</c:v>
                </c:pt>
                <c:pt idx="1">
                  <c:v>3320</c:v>
                </c:pt>
                <c:pt idx="2">
                  <c:v>3220</c:v>
                </c:pt>
                <c:pt idx="3">
                  <c:v>3120</c:v>
                </c:pt>
                <c:pt idx="4">
                  <c:v>3020</c:v>
                </c:pt>
                <c:pt idx="5">
                  <c:v>2920</c:v>
                </c:pt>
                <c:pt idx="6">
                  <c:v>2820</c:v>
                </c:pt>
                <c:pt idx="7">
                  <c:v>2770</c:v>
                </c:pt>
                <c:pt idx="8">
                  <c:v>2720</c:v>
                </c:pt>
                <c:pt idx="9">
                  <c:v>2670</c:v>
                </c:pt>
                <c:pt idx="10">
                  <c:v>2620</c:v>
                </c:pt>
                <c:pt idx="11">
                  <c:v>2570</c:v>
                </c:pt>
                <c:pt idx="12">
                  <c:v>2520</c:v>
                </c:pt>
                <c:pt idx="13">
                  <c:v>2470</c:v>
                </c:pt>
                <c:pt idx="14">
                  <c:v>2420</c:v>
                </c:pt>
                <c:pt idx="15">
                  <c:v>2370</c:v>
                </c:pt>
                <c:pt idx="16">
                  <c:v>2320</c:v>
                </c:pt>
                <c:pt idx="17">
                  <c:v>2270</c:v>
                </c:pt>
                <c:pt idx="18">
                  <c:v>2220</c:v>
                </c:pt>
                <c:pt idx="19">
                  <c:v>2170</c:v>
                </c:pt>
                <c:pt idx="20">
                  <c:v>2120</c:v>
                </c:pt>
                <c:pt idx="21">
                  <c:v>2070</c:v>
                </c:pt>
                <c:pt idx="22">
                  <c:v>2020</c:v>
                </c:pt>
                <c:pt idx="23">
                  <c:v>1970</c:v>
                </c:pt>
                <c:pt idx="24">
                  <c:v>1920</c:v>
                </c:pt>
                <c:pt idx="25">
                  <c:v>1870</c:v>
                </c:pt>
                <c:pt idx="26">
                  <c:v>1820</c:v>
                </c:pt>
                <c:pt idx="27">
                  <c:v>1770</c:v>
                </c:pt>
                <c:pt idx="28">
                  <c:v>1720</c:v>
                </c:pt>
                <c:pt idx="29">
                  <c:v>1670</c:v>
                </c:pt>
                <c:pt idx="30">
                  <c:v>1620</c:v>
                </c:pt>
                <c:pt idx="31">
                  <c:v>1570</c:v>
                </c:pt>
                <c:pt idx="32">
                  <c:v>1520</c:v>
                </c:pt>
                <c:pt idx="33">
                  <c:v>1470</c:v>
                </c:pt>
                <c:pt idx="34">
                  <c:v>1420</c:v>
                </c:pt>
                <c:pt idx="35">
                  <c:v>1370</c:v>
                </c:pt>
                <c:pt idx="36">
                  <c:v>1320</c:v>
                </c:pt>
                <c:pt idx="37">
                  <c:v>1270</c:v>
                </c:pt>
                <c:pt idx="38">
                  <c:v>1220</c:v>
                </c:pt>
                <c:pt idx="39">
                  <c:v>1170</c:v>
                </c:pt>
                <c:pt idx="40">
                  <c:v>1120</c:v>
                </c:pt>
                <c:pt idx="41">
                  <c:v>1070</c:v>
                </c:pt>
                <c:pt idx="42">
                  <c:v>1020</c:v>
                </c:pt>
                <c:pt idx="43">
                  <c:v>970</c:v>
                </c:pt>
                <c:pt idx="44">
                  <c:v>920</c:v>
                </c:pt>
                <c:pt idx="45">
                  <c:v>870</c:v>
                </c:pt>
                <c:pt idx="46">
                  <c:v>820</c:v>
                </c:pt>
                <c:pt idx="47">
                  <c:v>770</c:v>
                </c:pt>
                <c:pt idx="48">
                  <c:v>720</c:v>
                </c:pt>
                <c:pt idx="49">
                  <c:v>670</c:v>
                </c:pt>
                <c:pt idx="50">
                  <c:v>620</c:v>
                </c:pt>
                <c:pt idx="51">
                  <c:v>570</c:v>
                </c:pt>
                <c:pt idx="52">
                  <c:v>520</c:v>
                </c:pt>
                <c:pt idx="53">
                  <c:v>470</c:v>
                </c:pt>
                <c:pt idx="54">
                  <c:v>420</c:v>
                </c:pt>
                <c:pt idx="55">
                  <c:v>370</c:v>
                </c:pt>
                <c:pt idx="56">
                  <c:v>320</c:v>
                </c:pt>
                <c:pt idx="57">
                  <c:v>270</c:v>
                </c:pt>
                <c:pt idx="58">
                  <c:v>220</c:v>
                </c:pt>
                <c:pt idx="59">
                  <c:v>170</c:v>
                </c:pt>
                <c:pt idx="60">
                  <c:v>120</c:v>
                </c:pt>
                <c:pt idx="61">
                  <c:v>70</c:v>
                </c:pt>
                <c:pt idx="62">
                  <c:v>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8E8-4635-8247-A2B45A6B1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266200"/>
        <c:axId val="35729356"/>
      </c:scatterChart>
      <c:valAx>
        <c:axId val="99266200"/>
        <c:scaling>
          <c:orientation val="minMax"/>
          <c:max val="65"/>
          <c:min val="2.2999999999999998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100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Depth of Filtrate Invasion (inch)</a:t>
                </a:r>
              </a:p>
            </c:rich>
          </c:tx>
          <c:layout>
            <c:manualLayout>
              <c:xMode val="edge"/>
              <c:yMode val="edge"/>
              <c:x val="0.215418574231524"/>
              <c:y val="0.84894220846233204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000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35729356"/>
        <c:crosses val="autoZero"/>
        <c:crossBetween val="midCat"/>
        <c:majorUnit val="10"/>
      </c:valAx>
      <c:valAx>
        <c:axId val="35729356"/>
        <c:scaling>
          <c:orientation val="minMax"/>
          <c:min val="20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100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Drilling Time (min)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000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99266200"/>
        <c:crosses val="autoZero"/>
        <c:crossBetween val="midCat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legendPos val="r"/>
      <c:layout>
        <c:manualLayout>
          <c:xMode val="edge"/>
          <c:yMode val="edge"/>
          <c:x val="0.61355461085676899"/>
          <c:y val="5.0825593395252798E-2"/>
        </c:manualLayout>
      </c:layout>
      <c:overlay val="0"/>
      <c:spPr>
        <a:solidFill>
          <a:srgbClr val="FFFFFF"/>
        </a:solidFill>
        <a:ln w="0">
          <a:solidFill>
            <a:srgbClr val="000000"/>
          </a:solidFill>
        </a:ln>
      </c:spPr>
      <c:txPr>
        <a:bodyPr/>
        <a:lstStyle/>
        <a:p>
          <a:pPr>
            <a:defRPr sz="1000" b="1" u="none" strike="noStrike">
              <a:solidFill>
                <a:srgbClr val="000000"/>
              </a:solidFill>
              <a:uFillTx/>
              <a:latin typeface="Times New Roman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CC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0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'Oil-Based Mud 1'!$AV$17:$AV$69</c:f>
              <c:numCache>
                <c:formatCode>General</c:formatCode>
                <c:ptCount val="53"/>
                <c:pt idx="0" formatCode="0.0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35</c:v>
                </c:pt>
                <c:pt idx="7">
                  <c:v>45</c:v>
                </c:pt>
                <c:pt idx="8">
                  <c:v>55</c:v>
                </c:pt>
                <c:pt idx="9">
                  <c:v>65</c:v>
                </c:pt>
                <c:pt idx="10">
                  <c:v>75</c:v>
                </c:pt>
                <c:pt idx="11">
                  <c:v>85</c:v>
                </c:pt>
                <c:pt idx="12">
                  <c:v>95</c:v>
                </c:pt>
                <c:pt idx="13">
                  <c:v>105</c:v>
                </c:pt>
                <c:pt idx="14">
                  <c:v>115</c:v>
                </c:pt>
                <c:pt idx="15">
                  <c:v>125</c:v>
                </c:pt>
                <c:pt idx="16">
                  <c:v>135</c:v>
                </c:pt>
                <c:pt idx="17">
                  <c:v>145</c:v>
                </c:pt>
                <c:pt idx="18">
                  <c:v>155</c:v>
                </c:pt>
                <c:pt idx="19">
                  <c:v>165</c:v>
                </c:pt>
                <c:pt idx="20">
                  <c:v>175</c:v>
                </c:pt>
                <c:pt idx="21">
                  <c:v>185</c:v>
                </c:pt>
                <c:pt idx="22">
                  <c:v>195</c:v>
                </c:pt>
                <c:pt idx="23">
                  <c:v>205</c:v>
                </c:pt>
                <c:pt idx="24">
                  <c:v>215</c:v>
                </c:pt>
                <c:pt idx="25">
                  <c:v>225</c:v>
                </c:pt>
                <c:pt idx="26">
                  <c:v>255</c:v>
                </c:pt>
                <c:pt idx="27">
                  <c:v>285</c:v>
                </c:pt>
                <c:pt idx="28">
                  <c:v>385</c:v>
                </c:pt>
                <c:pt idx="29">
                  <c:v>485</c:v>
                </c:pt>
                <c:pt idx="30">
                  <c:v>585</c:v>
                </c:pt>
                <c:pt idx="31">
                  <c:v>685</c:v>
                </c:pt>
                <c:pt idx="32">
                  <c:v>785</c:v>
                </c:pt>
                <c:pt idx="33">
                  <c:v>885</c:v>
                </c:pt>
                <c:pt idx="34">
                  <c:v>985</c:v>
                </c:pt>
                <c:pt idx="35">
                  <c:v>1085</c:v>
                </c:pt>
                <c:pt idx="36">
                  <c:v>1185</c:v>
                </c:pt>
                <c:pt idx="37">
                  <c:v>1285</c:v>
                </c:pt>
                <c:pt idx="38">
                  <c:v>1385</c:v>
                </c:pt>
                <c:pt idx="39">
                  <c:v>1485</c:v>
                </c:pt>
                <c:pt idx="40">
                  <c:v>1585</c:v>
                </c:pt>
                <c:pt idx="41">
                  <c:v>1685</c:v>
                </c:pt>
                <c:pt idx="42">
                  <c:v>1785</c:v>
                </c:pt>
                <c:pt idx="43">
                  <c:v>1885</c:v>
                </c:pt>
                <c:pt idx="44">
                  <c:v>1985</c:v>
                </c:pt>
                <c:pt idx="45">
                  <c:v>2085</c:v>
                </c:pt>
                <c:pt idx="46">
                  <c:v>2585</c:v>
                </c:pt>
                <c:pt idx="47">
                  <c:v>2785</c:v>
                </c:pt>
                <c:pt idx="48">
                  <c:v>2985</c:v>
                </c:pt>
                <c:pt idx="49">
                  <c:v>3185</c:v>
                </c:pt>
                <c:pt idx="50">
                  <c:v>3385</c:v>
                </c:pt>
                <c:pt idx="51">
                  <c:v>3585</c:v>
                </c:pt>
                <c:pt idx="52">
                  <c:v>3420</c:v>
                </c:pt>
              </c:numCache>
            </c:numRef>
          </c:xVal>
          <c:yVal>
            <c:numRef>
              <c:f>'Oil-Based Mud 1'!$AW$17:$AW$69</c:f>
              <c:numCache>
                <c:formatCode>0.00</c:formatCode>
                <c:ptCount val="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8E-4F83-8205-6519D7FB0631}"/>
            </c:ext>
          </c:extLst>
        </c:ser>
        <c:ser>
          <c:idx val="1"/>
          <c:order val="1"/>
          <c:spPr>
            <a:ln w="0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'Oil-Based Mud 1'!$AV$17:$AV$69</c:f>
              <c:numCache>
                <c:formatCode>General</c:formatCode>
                <c:ptCount val="53"/>
                <c:pt idx="0" formatCode="0.0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35</c:v>
                </c:pt>
                <c:pt idx="7">
                  <c:v>45</c:v>
                </c:pt>
                <c:pt idx="8">
                  <c:v>55</c:v>
                </c:pt>
                <c:pt idx="9">
                  <c:v>65</c:v>
                </c:pt>
                <c:pt idx="10">
                  <c:v>75</c:v>
                </c:pt>
                <c:pt idx="11">
                  <c:v>85</c:v>
                </c:pt>
                <c:pt idx="12">
                  <c:v>95</c:v>
                </c:pt>
                <c:pt idx="13">
                  <c:v>105</c:v>
                </c:pt>
                <c:pt idx="14">
                  <c:v>115</c:v>
                </c:pt>
                <c:pt idx="15">
                  <c:v>125</c:v>
                </c:pt>
                <c:pt idx="16">
                  <c:v>135</c:v>
                </c:pt>
                <c:pt idx="17">
                  <c:v>145</c:v>
                </c:pt>
                <c:pt idx="18">
                  <c:v>155</c:v>
                </c:pt>
                <c:pt idx="19">
                  <c:v>165</c:v>
                </c:pt>
                <c:pt idx="20">
                  <c:v>175</c:v>
                </c:pt>
                <c:pt idx="21">
                  <c:v>185</c:v>
                </c:pt>
                <c:pt idx="22">
                  <c:v>195</c:v>
                </c:pt>
                <c:pt idx="23">
                  <c:v>205</c:v>
                </c:pt>
                <c:pt idx="24">
                  <c:v>215</c:v>
                </c:pt>
                <c:pt idx="25">
                  <c:v>225</c:v>
                </c:pt>
                <c:pt idx="26">
                  <c:v>255</c:v>
                </c:pt>
                <c:pt idx="27">
                  <c:v>285</c:v>
                </c:pt>
                <c:pt idx="28">
                  <c:v>385</c:v>
                </c:pt>
                <c:pt idx="29">
                  <c:v>485</c:v>
                </c:pt>
                <c:pt idx="30">
                  <c:v>585</c:v>
                </c:pt>
                <c:pt idx="31">
                  <c:v>685</c:v>
                </c:pt>
                <c:pt idx="32">
                  <c:v>785</c:v>
                </c:pt>
                <c:pt idx="33">
                  <c:v>885</c:v>
                </c:pt>
                <c:pt idx="34">
                  <c:v>985</c:v>
                </c:pt>
                <c:pt idx="35">
                  <c:v>1085</c:v>
                </c:pt>
                <c:pt idx="36">
                  <c:v>1185</c:v>
                </c:pt>
                <c:pt idx="37">
                  <c:v>1285</c:v>
                </c:pt>
                <c:pt idx="38">
                  <c:v>1385</c:v>
                </c:pt>
                <c:pt idx="39">
                  <c:v>1485</c:v>
                </c:pt>
                <c:pt idx="40">
                  <c:v>1585</c:v>
                </c:pt>
                <c:pt idx="41">
                  <c:v>1685</c:v>
                </c:pt>
                <c:pt idx="42">
                  <c:v>1785</c:v>
                </c:pt>
                <c:pt idx="43">
                  <c:v>1885</c:v>
                </c:pt>
                <c:pt idx="44">
                  <c:v>1985</c:v>
                </c:pt>
                <c:pt idx="45">
                  <c:v>2085</c:v>
                </c:pt>
                <c:pt idx="46">
                  <c:v>2585</c:v>
                </c:pt>
                <c:pt idx="47">
                  <c:v>2785</c:v>
                </c:pt>
                <c:pt idx="48">
                  <c:v>2985</c:v>
                </c:pt>
                <c:pt idx="49">
                  <c:v>3185</c:v>
                </c:pt>
                <c:pt idx="50">
                  <c:v>3385</c:v>
                </c:pt>
                <c:pt idx="51">
                  <c:v>3585</c:v>
                </c:pt>
                <c:pt idx="52">
                  <c:v>3420</c:v>
                </c:pt>
              </c:numCache>
            </c:numRef>
          </c:xVal>
          <c:yVal>
            <c:numRef>
              <c:f>'Oil-Based Mud 1'!$AU$17:$AU$58</c:f>
              <c:numCache>
                <c:formatCode>General</c:formatCode>
                <c:ptCount val="42"/>
                <c:pt idx="0">
                  <c:v>0.119069863238148</c:v>
                </c:pt>
                <c:pt idx="1">
                  <c:v>0.21346756435067901</c:v>
                </c:pt>
                <c:pt idx="2">
                  <c:v>0.43086500840110098</c:v>
                </c:pt>
                <c:pt idx="3">
                  <c:v>0.69719515061272397</c:v>
                </c:pt>
                <c:pt idx="4">
                  <c:v>1.0887580040261899</c:v>
                </c:pt>
                <c:pt idx="5">
                  <c:v>1.3944861390128001</c:v>
                </c:pt>
                <c:pt idx="6">
                  <c:v>1.5287741579615399</c:v>
                </c:pt>
                <c:pt idx="7">
                  <c:v>1.7719929927350999</c:v>
                </c:pt>
                <c:pt idx="8">
                  <c:v>1.99005505954413</c:v>
                </c:pt>
                <c:pt idx="9">
                  <c:v>2.18945224319621</c:v>
                </c:pt>
                <c:pt idx="10">
                  <c:v>2.3742877683769801</c:v>
                </c:pt>
                <c:pt idx="11">
                  <c:v>2.5473509654295099</c:v>
                </c:pt>
                <c:pt idx="12">
                  <c:v>2.71064023674171</c:v>
                </c:pt>
                <c:pt idx="13">
                  <c:v>2.8656454150476298</c:v>
                </c:pt>
                <c:pt idx="14">
                  <c:v>3.01351239203948</c:v>
                </c:pt>
                <c:pt idx="15">
                  <c:v>3.1551449740198101</c:v>
                </c:pt>
                <c:pt idx="16">
                  <c:v>3.2912709539854901</c:v>
                </c:pt>
                <c:pt idx="17">
                  <c:v>3.4224866616785601</c:v>
                </c:pt>
                <c:pt idx="18">
                  <c:v>3.5492879861250701</c:v>
                </c:pt>
                <c:pt idx="19">
                  <c:v>3.6720925760360701</c:v>
                </c:pt>
                <c:pt idx="20">
                  <c:v>3.79125610341625</c:v>
                </c:pt>
                <c:pt idx="21">
                  <c:v>3.9070844226609198</c:v>
                </c:pt>
                <c:pt idx="22">
                  <c:v>4.0198428243930104</c:v>
                </c:pt>
                <c:pt idx="23">
                  <c:v>4.1297631899523202</c:v>
                </c:pt>
                <c:pt idx="24">
                  <c:v>4.2370496008576799</c:v>
                </c:pt>
                <c:pt idx="25">
                  <c:v>4.3418827924665999</c:v>
                </c:pt>
                <c:pt idx="26">
                  <c:v>4.6431907386544902</c:v>
                </c:pt>
                <c:pt idx="27">
                  <c:v>4.9273197189333002</c:v>
                </c:pt>
                <c:pt idx="28">
                  <c:v>5.7800121872259398</c:v>
                </c:pt>
                <c:pt idx="29">
                  <c:v>6.5277722691602298</c:v>
                </c:pt>
                <c:pt idx="30">
                  <c:v>7.2018396420294302</c:v>
                </c:pt>
                <c:pt idx="31">
                  <c:v>7.8204763424713697</c:v>
                </c:pt>
                <c:pt idx="32">
                  <c:v>8.3954550377094002</c:v>
                </c:pt>
                <c:pt idx="33">
                  <c:v>8.9348910232078005</c:v>
                </c:pt>
                <c:pt idx="34">
                  <c:v>9.4446592495249106</c:v>
                </c:pt>
                <c:pt idx="35">
                  <c:v>9.92917504419386</c:v>
                </c:pt>
                <c:pt idx="36">
                  <c:v>10.3918563845478</c:v>
                </c:pt>
                <c:pt idx="37">
                  <c:v>10.835413408013499</c:v>
                </c:pt>
                <c:pt idx="38">
                  <c:v>11.2620380748822</c:v>
                </c:pt>
                <c:pt idx="39">
                  <c:v>11.673533100201601</c:v>
                </c:pt>
                <c:pt idx="40">
                  <c:v>12.0714023557302</c:v>
                </c:pt>
                <c:pt idx="41">
                  <c:v>12.437916315226801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08E-4F83-8205-6519D7FB0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62916"/>
        <c:axId val="28211098"/>
      </c:scatterChart>
      <c:valAx>
        <c:axId val="1006291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000" b="0" u="none" strike="noStrike">
                <a:solidFill>
                  <a:srgbClr val="000000"/>
                </a:solidFill>
                <a:uFillTx/>
                <a:latin typeface="Arial"/>
              </a:defRPr>
            </a:pPr>
            <a:endParaRPr lang="en-US"/>
          </a:p>
        </c:txPr>
        <c:crossAx val="28211098"/>
        <c:crosses val="autoZero"/>
        <c:crossBetween val="midCat"/>
      </c:valAx>
      <c:valAx>
        <c:axId val="28211098"/>
        <c:scaling>
          <c:orientation val="minMax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numFmt formatCode="0.00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000" b="0" u="none" strike="noStrike">
                <a:solidFill>
                  <a:srgbClr val="000000"/>
                </a:solidFill>
                <a:uFillTx/>
                <a:latin typeface="Arial"/>
              </a:defRPr>
            </a:pPr>
            <a:endParaRPr lang="en-US"/>
          </a:p>
        </c:txPr>
        <c:crossAx val="10062916"/>
        <c:crosses val="autoZero"/>
        <c:crossBetween val="midCat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plotVisOnly val="1"/>
    <c:dispBlanksAs val="gap"/>
    <c:showDLblsOverMax val="1"/>
  </c:chart>
  <c:spPr>
    <a:solidFill>
      <a:srgbClr val="FFFFFF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0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'Oil-Based Mud 1'!$CA$16:$CA$78</c:f>
              <c:numCache>
                <c:formatCode>General</c:formatCode>
                <c:ptCount val="6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</c:numCache>
            </c:numRef>
          </c:xVal>
          <c:yVal>
            <c:numRef>
              <c:f>'Oil-Based Mud 1'!$BO$16:$BO$78</c:f>
              <c:numCache>
                <c:formatCode>General</c:formatCode>
                <c:ptCount val="63"/>
                <c:pt idx="0">
                  <c:v>3420</c:v>
                </c:pt>
                <c:pt idx="1">
                  <c:v>3320</c:v>
                </c:pt>
                <c:pt idx="2">
                  <c:v>3220</c:v>
                </c:pt>
                <c:pt idx="3">
                  <c:v>3120</c:v>
                </c:pt>
                <c:pt idx="4">
                  <c:v>3020</c:v>
                </c:pt>
                <c:pt idx="5">
                  <c:v>2920</c:v>
                </c:pt>
                <c:pt idx="6">
                  <c:v>2820</c:v>
                </c:pt>
                <c:pt idx="7">
                  <c:v>2770</c:v>
                </c:pt>
                <c:pt idx="8">
                  <c:v>2720</c:v>
                </c:pt>
                <c:pt idx="9">
                  <c:v>2670</c:v>
                </c:pt>
                <c:pt idx="10">
                  <c:v>2620</c:v>
                </c:pt>
                <c:pt idx="11">
                  <c:v>2570</c:v>
                </c:pt>
                <c:pt idx="12">
                  <c:v>2520</c:v>
                </c:pt>
                <c:pt idx="13">
                  <c:v>2470</c:v>
                </c:pt>
                <c:pt idx="14">
                  <c:v>2420</c:v>
                </c:pt>
                <c:pt idx="15">
                  <c:v>2370</c:v>
                </c:pt>
                <c:pt idx="16">
                  <c:v>2320</c:v>
                </c:pt>
                <c:pt idx="17">
                  <c:v>2270</c:v>
                </c:pt>
                <c:pt idx="18">
                  <c:v>2220</c:v>
                </c:pt>
                <c:pt idx="19">
                  <c:v>2170</c:v>
                </c:pt>
                <c:pt idx="20">
                  <c:v>2120</c:v>
                </c:pt>
                <c:pt idx="21">
                  <c:v>2070</c:v>
                </c:pt>
                <c:pt idx="22">
                  <c:v>2020</c:v>
                </c:pt>
                <c:pt idx="23">
                  <c:v>1970</c:v>
                </c:pt>
                <c:pt idx="24">
                  <c:v>1920</c:v>
                </c:pt>
                <c:pt idx="25">
                  <c:v>1870</c:v>
                </c:pt>
                <c:pt idx="26">
                  <c:v>1820</c:v>
                </c:pt>
                <c:pt idx="27">
                  <c:v>1770</c:v>
                </c:pt>
                <c:pt idx="28">
                  <c:v>1720</c:v>
                </c:pt>
                <c:pt idx="29">
                  <c:v>1670</c:v>
                </c:pt>
                <c:pt idx="30">
                  <c:v>1620</c:v>
                </c:pt>
                <c:pt idx="31">
                  <c:v>1570</c:v>
                </c:pt>
                <c:pt idx="32">
                  <c:v>1520</c:v>
                </c:pt>
                <c:pt idx="33">
                  <c:v>1470</c:v>
                </c:pt>
                <c:pt idx="34">
                  <c:v>1420</c:v>
                </c:pt>
                <c:pt idx="35">
                  <c:v>1370</c:v>
                </c:pt>
                <c:pt idx="36">
                  <c:v>1320</c:v>
                </c:pt>
                <c:pt idx="37">
                  <c:v>1270</c:v>
                </c:pt>
                <c:pt idx="38">
                  <c:v>1220</c:v>
                </c:pt>
                <c:pt idx="39">
                  <c:v>1170</c:v>
                </c:pt>
                <c:pt idx="40">
                  <c:v>1120</c:v>
                </c:pt>
                <c:pt idx="41">
                  <c:v>1070</c:v>
                </c:pt>
                <c:pt idx="42">
                  <c:v>1020</c:v>
                </c:pt>
                <c:pt idx="43">
                  <c:v>970</c:v>
                </c:pt>
                <c:pt idx="44">
                  <c:v>920</c:v>
                </c:pt>
                <c:pt idx="45">
                  <c:v>870</c:v>
                </c:pt>
                <c:pt idx="46">
                  <c:v>820</c:v>
                </c:pt>
                <c:pt idx="47">
                  <c:v>770</c:v>
                </c:pt>
                <c:pt idx="48">
                  <c:v>720</c:v>
                </c:pt>
                <c:pt idx="49">
                  <c:v>670</c:v>
                </c:pt>
                <c:pt idx="50">
                  <c:v>620</c:v>
                </c:pt>
                <c:pt idx="51">
                  <c:v>570</c:v>
                </c:pt>
                <c:pt idx="52">
                  <c:v>520</c:v>
                </c:pt>
                <c:pt idx="53">
                  <c:v>470</c:v>
                </c:pt>
                <c:pt idx="54">
                  <c:v>420</c:v>
                </c:pt>
                <c:pt idx="55">
                  <c:v>370</c:v>
                </c:pt>
                <c:pt idx="56">
                  <c:v>320</c:v>
                </c:pt>
                <c:pt idx="57">
                  <c:v>270</c:v>
                </c:pt>
                <c:pt idx="58">
                  <c:v>220</c:v>
                </c:pt>
                <c:pt idx="59">
                  <c:v>170</c:v>
                </c:pt>
                <c:pt idx="60">
                  <c:v>120</c:v>
                </c:pt>
                <c:pt idx="61">
                  <c:v>70</c:v>
                </c:pt>
                <c:pt idx="62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32-4D87-B478-2DD65CE11823}"/>
            </c:ext>
          </c:extLst>
        </c:ser>
        <c:ser>
          <c:idx val="1"/>
          <c:order val="1"/>
          <c:spPr>
            <a:ln w="0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'Oil-Based Mud 1'!$CB$16:$CB$78</c:f>
              <c:numCache>
                <c:formatCode>General</c:formatCode>
                <c:ptCount val="6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</c:numCache>
            </c:numRef>
          </c:xVal>
          <c:yVal>
            <c:numRef>
              <c:f>'Oil-Based Mud 1'!$BO$16:$BO$77</c:f>
              <c:numCache>
                <c:formatCode>General</c:formatCode>
                <c:ptCount val="62"/>
                <c:pt idx="0">
                  <c:v>3420</c:v>
                </c:pt>
                <c:pt idx="1">
                  <c:v>3320</c:v>
                </c:pt>
                <c:pt idx="2">
                  <c:v>3220</c:v>
                </c:pt>
                <c:pt idx="3">
                  <c:v>3120</c:v>
                </c:pt>
                <c:pt idx="4">
                  <c:v>3020</c:v>
                </c:pt>
                <c:pt idx="5">
                  <c:v>2920</c:v>
                </c:pt>
                <c:pt idx="6">
                  <c:v>2820</c:v>
                </c:pt>
                <c:pt idx="7">
                  <c:v>2770</c:v>
                </c:pt>
                <c:pt idx="8">
                  <c:v>2720</c:v>
                </c:pt>
                <c:pt idx="9">
                  <c:v>2670</c:v>
                </c:pt>
                <c:pt idx="10">
                  <c:v>2620</c:v>
                </c:pt>
                <c:pt idx="11">
                  <c:v>2570</c:v>
                </c:pt>
                <c:pt idx="12">
                  <c:v>2520</c:v>
                </c:pt>
                <c:pt idx="13">
                  <c:v>2470</c:v>
                </c:pt>
                <c:pt idx="14">
                  <c:v>2420</c:v>
                </c:pt>
                <c:pt idx="15">
                  <c:v>2370</c:v>
                </c:pt>
                <c:pt idx="16">
                  <c:v>2320</c:v>
                </c:pt>
                <c:pt idx="17">
                  <c:v>2270</c:v>
                </c:pt>
                <c:pt idx="18">
                  <c:v>2220</c:v>
                </c:pt>
                <c:pt idx="19">
                  <c:v>2170</c:v>
                </c:pt>
                <c:pt idx="20">
                  <c:v>2120</c:v>
                </c:pt>
                <c:pt idx="21">
                  <c:v>2070</c:v>
                </c:pt>
                <c:pt idx="22">
                  <c:v>2020</c:v>
                </c:pt>
                <c:pt idx="23">
                  <c:v>1970</c:v>
                </c:pt>
                <c:pt idx="24">
                  <c:v>1920</c:v>
                </c:pt>
                <c:pt idx="25">
                  <c:v>1870</c:v>
                </c:pt>
                <c:pt idx="26">
                  <c:v>1820</c:v>
                </c:pt>
                <c:pt idx="27">
                  <c:v>1770</c:v>
                </c:pt>
                <c:pt idx="28">
                  <c:v>1720</c:v>
                </c:pt>
                <c:pt idx="29">
                  <c:v>1670</c:v>
                </c:pt>
                <c:pt idx="30">
                  <c:v>1620</c:v>
                </c:pt>
                <c:pt idx="31">
                  <c:v>1570</c:v>
                </c:pt>
                <c:pt idx="32">
                  <c:v>1520</c:v>
                </c:pt>
                <c:pt idx="33">
                  <c:v>1470</c:v>
                </c:pt>
                <c:pt idx="34">
                  <c:v>1420</c:v>
                </c:pt>
                <c:pt idx="35">
                  <c:v>1370</c:v>
                </c:pt>
                <c:pt idx="36">
                  <c:v>1320</c:v>
                </c:pt>
                <c:pt idx="37">
                  <c:v>1270</c:v>
                </c:pt>
                <c:pt idx="38">
                  <c:v>1220</c:v>
                </c:pt>
                <c:pt idx="39">
                  <c:v>1170</c:v>
                </c:pt>
                <c:pt idx="40">
                  <c:v>1120</c:v>
                </c:pt>
                <c:pt idx="41">
                  <c:v>1070</c:v>
                </c:pt>
                <c:pt idx="42">
                  <c:v>1020</c:v>
                </c:pt>
                <c:pt idx="43">
                  <c:v>970</c:v>
                </c:pt>
                <c:pt idx="44">
                  <c:v>920</c:v>
                </c:pt>
                <c:pt idx="45">
                  <c:v>870</c:v>
                </c:pt>
                <c:pt idx="46">
                  <c:v>820</c:v>
                </c:pt>
                <c:pt idx="47">
                  <c:v>770</c:v>
                </c:pt>
                <c:pt idx="48">
                  <c:v>720</c:v>
                </c:pt>
                <c:pt idx="49">
                  <c:v>670</c:v>
                </c:pt>
                <c:pt idx="50">
                  <c:v>620</c:v>
                </c:pt>
                <c:pt idx="51">
                  <c:v>570</c:v>
                </c:pt>
                <c:pt idx="52">
                  <c:v>520</c:v>
                </c:pt>
                <c:pt idx="53">
                  <c:v>470</c:v>
                </c:pt>
                <c:pt idx="54">
                  <c:v>420</c:v>
                </c:pt>
                <c:pt idx="55">
                  <c:v>370</c:v>
                </c:pt>
                <c:pt idx="56">
                  <c:v>320</c:v>
                </c:pt>
                <c:pt idx="57">
                  <c:v>270</c:v>
                </c:pt>
                <c:pt idx="58">
                  <c:v>220</c:v>
                </c:pt>
                <c:pt idx="59">
                  <c:v>170</c:v>
                </c:pt>
                <c:pt idx="60">
                  <c:v>120</c:v>
                </c:pt>
                <c:pt idx="61">
                  <c:v>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32-4D87-B478-2DD65CE11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32538"/>
        <c:axId val="18569481"/>
      </c:scatterChart>
      <c:valAx>
        <c:axId val="11232538"/>
        <c:scaling>
          <c:orientation val="minMax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900" b="0" u="none" strike="noStrike">
                <a:solidFill>
                  <a:srgbClr val="000000"/>
                </a:solidFill>
                <a:uFillTx/>
                <a:latin typeface="Arial"/>
              </a:defRPr>
            </a:pPr>
            <a:endParaRPr lang="en-US"/>
          </a:p>
        </c:txPr>
        <c:crossAx val="18569481"/>
        <c:crosses val="autoZero"/>
        <c:crossBetween val="midCat"/>
      </c:valAx>
      <c:valAx>
        <c:axId val="18569481"/>
        <c:scaling>
          <c:orientation val="minMax"/>
          <c:max val="3550"/>
          <c:min val="50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900" b="0" u="none" strike="noStrike">
                <a:solidFill>
                  <a:srgbClr val="000000"/>
                </a:solidFill>
                <a:uFillTx/>
                <a:latin typeface="Arial"/>
              </a:defRPr>
            </a:pPr>
            <a:endParaRPr lang="en-US"/>
          </a:p>
        </c:txPr>
        <c:crossAx val="11232538"/>
        <c:crosses val="autoZero"/>
        <c:crossBetween val="midCat"/>
        <c:majorUnit val="500"/>
        <c:minorUnit val="500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plotVisOnly val="1"/>
    <c:dispBlanksAs val="gap"/>
    <c:showDLblsOverMax val="1"/>
  </c:chart>
  <c:spPr>
    <a:solidFill>
      <a:srgbClr val="FFFFFF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21614716402657"/>
          <c:y val="8.2088582932848403E-2"/>
          <c:w val="0.822614789400686"/>
          <c:h val="0.75087673723860204"/>
        </c:manualLayout>
      </c:layout>
      <c:scatterChart>
        <c:scatterStyle val="lineMarker"/>
        <c:varyColors val="0"/>
        <c:ser>
          <c:idx val="0"/>
          <c:order val="0"/>
          <c:spPr>
            <a:ln w="0">
              <a:solidFill>
                <a:srgbClr val="000080"/>
              </a:solidFill>
            </a:ln>
          </c:spPr>
          <c:marker>
            <c:symbol val="diamond"/>
            <c:size val="3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6"/>
                <c:pt idx="0">
                  <c:v>1021.92</c:v>
                </c:pt>
                <c:pt idx="1">
                  <c:v>510.96</c:v>
                </c:pt>
                <c:pt idx="2">
                  <c:v>340.64</c:v>
                </c:pt>
                <c:pt idx="3">
                  <c:v>170.32</c:v>
                </c:pt>
                <c:pt idx="4">
                  <c:v>10.219200000000001</c:v>
                </c:pt>
                <c:pt idx="5">
                  <c:v>5.1096000000000004</c:v>
                </c:pt>
              </c:numCache>
            </c:numRef>
          </c:xVal>
          <c:yVal>
            <c:numRef>
              <c:f>1</c:f>
              <c:numCache>
                <c:formatCode>General</c:formatCode>
                <c:ptCount val="6"/>
                <c:pt idx="0">
                  <c:v>237.688697988326</c:v>
                </c:pt>
                <c:pt idx="1">
                  <c:v>143.51015727596999</c:v>
                </c:pt>
                <c:pt idx="2">
                  <c:v>112.117310371852</c:v>
                </c:pt>
                <c:pt idx="3">
                  <c:v>76.239771052859197</c:v>
                </c:pt>
                <c:pt idx="4">
                  <c:v>31.3928469041185</c:v>
                </c:pt>
                <c:pt idx="5">
                  <c:v>26.908154489244399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1</c15:sqref>
                        </c15:formulaRef>
                      </c:ext>
                    </c:extLst>
                    <c:strCache>
                      <c:ptCount val="1"/>
                      <c:pt idx="0">
                        <c:v>Actual data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8500-430A-B887-5C3A014266F7}"/>
            </c:ext>
          </c:extLst>
        </c:ser>
        <c:ser>
          <c:idx val="1"/>
          <c:order val="1"/>
          <c:spPr>
            <a:ln w="0">
              <a:solidFill>
                <a:srgbClr val="FF00FF"/>
              </a:solidFill>
            </a:ln>
          </c:spPr>
          <c:marker>
            <c:symbol val="square"/>
            <c:size val="3"/>
            <c:spPr>
              <a:solidFill>
                <a:srgbClr val="FF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6"/>
                <c:pt idx="0">
                  <c:v>1021.92</c:v>
                </c:pt>
                <c:pt idx="1">
                  <c:v>510.96</c:v>
                </c:pt>
                <c:pt idx="2">
                  <c:v>340.64</c:v>
                </c:pt>
                <c:pt idx="3">
                  <c:v>170.32</c:v>
                </c:pt>
                <c:pt idx="4">
                  <c:v>10.219200000000001</c:v>
                </c:pt>
                <c:pt idx="5">
                  <c:v>5.1096000000000004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6"/>
                <c:pt idx="0">
                  <c:v>250.25632287837499</c:v>
                </c:pt>
                <c:pt idx="1">
                  <c:v>149.79396972099499</c:v>
                </c:pt>
                <c:pt idx="2">
                  <c:v>116.30651866853501</c:v>
                </c:pt>
                <c:pt idx="3">
                  <c:v>82.819067616074904</c:v>
                </c:pt>
                <c:pt idx="4">
                  <c:v>51.340863626762399</c:v>
                </c:pt>
                <c:pt idx="5">
                  <c:v>50.3362400951886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2</c15:sqref>
                        </c15:formulaRef>
                      </c:ext>
                    </c:extLst>
                    <c:strCache>
                      <c:ptCount val="1"/>
                      <c:pt idx="0">
                        <c:v>Bingham Plastic model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8500-430A-B887-5C3A014266F7}"/>
            </c:ext>
          </c:extLst>
        </c:ser>
        <c:ser>
          <c:idx val="2"/>
          <c:order val="2"/>
          <c:spPr>
            <a:ln w="0">
              <a:solidFill>
                <a:srgbClr val="00FF00"/>
              </a:solidFill>
            </a:ln>
          </c:spPr>
          <c:marker>
            <c:symbol val="triangle"/>
            <c:size val="3"/>
            <c:spPr>
              <a:solidFill>
                <a:srgbClr val="00FF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6"/>
                <c:pt idx="0">
                  <c:v>1021.92</c:v>
                </c:pt>
                <c:pt idx="1">
                  <c:v>510.96</c:v>
                </c:pt>
                <c:pt idx="2">
                  <c:v>340.64</c:v>
                </c:pt>
                <c:pt idx="3">
                  <c:v>170.32</c:v>
                </c:pt>
                <c:pt idx="4">
                  <c:v>10.219200000000001</c:v>
                </c:pt>
                <c:pt idx="5">
                  <c:v>5.1096000000000004</c:v>
                </c:pt>
              </c:numCache>
            </c:numRef>
          </c:xVal>
          <c:yVal>
            <c:numRef>
              <c:f>3</c:f>
              <c:numCache>
                <c:formatCode>General</c:formatCode>
                <c:ptCount val="6"/>
                <c:pt idx="0">
                  <c:v>184.63194822010399</c:v>
                </c:pt>
                <c:pt idx="1">
                  <c:v>143.51015727596999</c:v>
                </c:pt>
                <c:pt idx="2">
                  <c:v>123.843603345107</c:v>
                </c:pt>
                <c:pt idx="3">
                  <c:v>96.260778077755901</c:v>
                </c:pt>
                <c:pt idx="4">
                  <c:v>34.618490291269403</c:v>
                </c:pt>
                <c:pt idx="5">
                  <c:v>26.908154489244399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3</c15:sqref>
                        </c15:formulaRef>
                      </c:ext>
                    </c:extLst>
                    <c:strCache>
                      <c:ptCount val="1"/>
                      <c:pt idx="0">
                        <c:v>Power Law model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8500-430A-B887-5C3A014266F7}"/>
            </c:ext>
          </c:extLst>
        </c:ser>
        <c:ser>
          <c:idx val="3"/>
          <c:order val="3"/>
          <c:spPr>
            <a:ln w="0">
              <a:solidFill>
                <a:srgbClr val="008080"/>
              </a:solidFill>
            </a:ln>
          </c:spPr>
          <c:marker>
            <c:symbol val="x"/>
            <c:size val="3"/>
            <c:spPr>
              <a:solidFill>
                <a:srgbClr val="008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6"/>
                <c:pt idx="0">
                  <c:v>1021.92</c:v>
                </c:pt>
                <c:pt idx="1">
                  <c:v>510.96</c:v>
                </c:pt>
                <c:pt idx="2">
                  <c:v>340.64</c:v>
                </c:pt>
                <c:pt idx="3">
                  <c:v>170.32</c:v>
                </c:pt>
                <c:pt idx="4">
                  <c:v>10.219200000000001</c:v>
                </c:pt>
                <c:pt idx="5">
                  <c:v>5.1096000000000004</c:v>
                </c:pt>
              </c:numCache>
            </c:numRef>
          </c:xVal>
          <c:yVal>
            <c:numRef>
              <c:f>4</c:f>
              <c:numCache>
                <c:formatCode>General</c:formatCode>
                <c:ptCount val="6"/>
                <c:pt idx="0">
                  <c:v>214.606387950813</c:v>
                </c:pt>
                <c:pt idx="1">
                  <c:v>143.51015727596999</c:v>
                </c:pt>
                <c:pt idx="2">
                  <c:v>114.741515487138</c:v>
                </c:pt>
                <c:pt idx="3">
                  <c:v>80.329168336582399</c:v>
                </c:pt>
                <c:pt idx="4">
                  <c:v>30.303414338348201</c:v>
                </c:pt>
                <c:pt idx="5">
                  <c:v>26.908154489244399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4</c15:sqref>
                        </c15:formulaRef>
                      </c:ext>
                    </c:extLst>
                    <c:strCache>
                      <c:ptCount val="1"/>
                      <c:pt idx="0">
                        <c:v>Herschel Bulkley model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8500-430A-B887-5C3A01426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52738"/>
        <c:axId val="97003245"/>
      </c:scatterChart>
      <c:valAx>
        <c:axId val="45952738"/>
        <c:scaling>
          <c:orientation val="minMax"/>
          <c:min val="0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825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Shear rate (1/sec)</a:t>
                </a:r>
              </a:p>
            </c:rich>
          </c:tx>
          <c:layout>
            <c:manualLayout>
              <c:xMode val="edge"/>
              <c:yMode val="edge"/>
              <c:x val="0.43762318417402701"/>
              <c:y val="0.91427458111443105"/>
            </c:manualLayout>
          </c:layout>
          <c:overlay val="0"/>
          <c:spPr>
            <a:noFill/>
            <a:ln w="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25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97003245"/>
        <c:crosses val="autoZero"/>
        <c:crossBetween val="midCat"/>
      </c:valAx>
      <c:valAx>
        <c:axId val="97003245"/>
        <c:scaling>
          <c:orientation val="minMax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825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Shear stress (dyne/cm^2)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25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45952738"/>
        <c:crosses val="autoZero"/>
        <c:crossBetween val="midCat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legend>
      <c:legendPos val="r"/>
      <c:layout>
        <c:manualLayout>
          <c:xMode val="edge"/>
          <c:yMode val="edge"/>
          <c:x val="0.13606832615519401"/>
          <c:y val="1.7145083777113899E-2"/>
          <c:w val="0.77770477441962305"/>
          <c:h val="0.105222135619641"/>
        </c:manualLayout>
      </c:layout>
      <c:overlay val="0"/>
      <c:spPr>
        <a:solidFill>
          <a:srgbClr val="FFFFFF"/>
        </a:solidFill>
        <a:ln w="0">
          <a:solidFill>
            <a:srgbClr val="000000"/>
          </a:solidFill>
        </a:ln>
      </c:spPr>
      <c:txPr>
        <a:bodyPr/>
        <a:lstStyle/>
        <a:p>
          <a:pPr>
            <a:defRPr sz="1000" b="1" u="none" strike="noStrike">
              <a:solidFill>
                <a:srgbClr val="000000"/>
              </a:solidFill>
              <a:uFillTx/>
              <a:latin typeface="Times New Roman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8080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9324853228962799"/>
          <c:y val="9.3213667139033202E-2"/>
          <c:w val="0.60939334637964804"/>
          <c:h val="0.66572193355377096"/>
        </c:manualLayout>
      </c:layout>
      <c:scatterChart>
        <c:scatterStyle val="lineMarker"/>
        <c:varyColors val="0"/>
        <c:ser>
          <c:idx val="0"/>
          <c:order val="0"/>
          <c:spPr>
            <a:ln w="0">
              <a:solidFill>
                <a:srgbClr val="000080"/>
              </a:solidFill>
            </a:ln>
          </c:spPr>
          <c:marker>
            <c:symbol val="diamond"/>
            <c:size val="3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'Oil-Based Mud 1'!$BP$16:$BP$77</c:f>
              <c:numCache>
                <c:formatCode>General</c:formatCode>
                <c:ptCount val="62"/>
                <c:pt idx="0">
                  <c:v>31.35813597682095</c:v>
                </c:pt>
                <c:pt idx="1">
                  <c:v>30.896282527964217</c:v>
                </c:pt>
                <c:pt idx="2">
                  <c:v>30.427419479061665</c:v>
                </c:pt>
                <c:pt idx="3">
                  <c:v>29.951217642389363</c:v>
                </c:pt>
                <c:pt idx="4">
                  <c:v>29.467321228248252</c:v>
                </c:pt>
                <c:pt idx="5">
                  <c:v>28.975344734373127</c:v>
                </c:pt>
                <c:pt idx="6">
                  <c:v>28.47486935146075</c:v>
                </c:pt>
                <c:pt idx="7">
                  <c:v>28.221303577904688</c:v>
                </c:pt>
                <c:pt idx="8">
                  <c:v>27.965438789508617</c:v>
                </c:pt>
                <c:pt idx="9">
                  <c:v>27.707211294954433</c:v>
                </c:pt>
                <c:pt idx="10">
                  <c:v>27.446554406641784</c:v>
                </c:pt>
                <c:pt idx="11">
                  <c:v>27.183398239555054</c:v>
                </c:pt>
                <c:pt idx="12">
                  <c:v>26.917669492430839</c:v>
                </c:pt>
                <c:pt idx="13">
                  <c:v>26.649291209284332</c:v>
                </c:pt>
                <c:pt idx="14">
                  <c:v>26.378182519095898</c:v>
                </c:pt>
                <c:pt idx="15">
                  <c:v>26.104258351162429</c:v>
                </c:pt>
                <c:pt idx="16">
                  <c:v>25.827429123273781</c:v>
                </c:pt>
                <c:pt idx="17">
                  <c:v>25.547600399474465</c:v>
                </c:pt>
                <c:pt idx="18">
                  <c:v>25.264672513704291</c:v>
                </c:pt>
                <c:pt idx="19">
                  <c:v>24.978540155065552</c:v>
                </c:pt>
                <c:pt idx="20">
                  <c:v>24.689091909823645</c:v>
                </c:pt>
                <c:pt idx="21">
                  <c:v>24.396209754492943</c:v>
                </c:pt>
                <c:pt idx="22">
                  <c:v>24.099768493467188</c:v>
                </c:pt>
                <c:pt idx="23">
                  <c:v>23.79963513359419</c:v>
                </c:pt>
                <c:pt idx="24">
                  <c:v>23.495668186831974</c:v>
                </c:pt>
                <c:pt idx="25">
                  <c:v>23.187716890612695</c:v>
                </c:pt>
                <c:pt idx="26">
                  <c:v>22.875620333724338</c:v>
                </c:pt>
                <c:pt idx="27">
                  <c:v>22.55920647332702</c:v>
                </c:pt>
                <c:pt idx="28">
                  <c:v>22.238291026059013</c:v>
                </c:pt>
                <c:pt idx="29">
                  <c:v>21.912676212941083</c:v>
                </c:pt>
                <c:pt idx="30">
                  <c:v>21.582149333805731</c:v>
                </c:pt>
                <c:pt idx="31">
                  <c:v>21.246481142066521</c:v>
                </c:pt>
                <c:pt idx="32">
                  <c:v>20.905423984547301</c:v>
                </c:pt>
                <c:pt idx="33">
                  <c:v>20.558709663477977</c:v>
                </c:pt>
                <c:pt idx="34">
                  <c:v>20.206046968189497</c:v>
                </c:pt>
                <c:pt idx="35">
                  <c:v>19.847118811912654</c:v>
                </c:pt>
                <c:pt idx="36">
                  <c:v>19.481578893602908</c:v>
                </c:pt>
                <c:pt idx="37">
                  <c:v>19.109047784784345</c:v>
                </c:pt>
                <c:pt idx="38">
                  <c:v>18.729108315525028</c:v>
                </c:pt>
                <c:pt idx="39">
                  <c:v>18.341300099724826</c:v>
                </c:pt>
                <c:pt idx="40">
                  <c:v>17.945112994953892</c:v>
                </c:pt>
                <c:pt idx="41">
                  <c:v>17.53997923189079</c:v>
                </c:pt>
                <c:pt idx="42">
                  <c:v>17.125263866833045</c:v>
                </c:pt>
                <c:pt idx="43">
                  <c:v>16.700253098745378</c:v>
                </c:pt>
                <c:pt idx="44">
                  <c:v>16.264139836328628</c:v>
                </c:pt>
                <c:pt idx="45">
                  <c:v>15.816005679979664</c:v>
                </c:pt>
                <c:pt idx="46">
                  <c:v>15.354798166131854</c:v>
                </c:pt>
                <c:pt idx="47">
                  <c:v>14.87930165619823</c:v>
                </c:pt>
                <c:pt idx="48">
                  <c:v>14.388099555870488</c:v>
                </c:pt>
                <c:pt idx="49">
                  <c:v>13.879524483322104</c:v>
                </c:pt>
                <c:pt idx="50">
                  <c:v>13.351591326004362</c:v>
                </c:pt>
                <c:pt idx="51">
                  <c:v>12.801905404670514</c:v>
                </c:pt>
                <c:pt idx="52">
                  <c:v>12.227533399816549</c:v>
                </c:pt>
                <c:pt idx="53">
                  <c:v>11.624816733915699</c:v>
                </c:pt>
                <c:pt idx="54">
                  <c:v>10.989092553556169</c:v>
                </c:pt>
                <c:pt idx="55">
                  <c:v>10.314259362849125</c:v>
                </c:pt>
                <c:pt idx="56">
                  <c:v>9.5920663705803264</c:v>
                </c:pt>
                <c:pt idx="57">
                  <c:v>8.8108755700619898</c:v>
                </c:pt>
                <c:pt idx="58">
                  <c:v>7.9533212788502636</c:v>
                </c:pt>
                <c:pt idx="59">
                  <c:v>6.9913596973771543</c:v>
                </c:pt>
                <c:pt idx="60">
                  <c:v>5.8739170467079935</c:v>
                </c:pt>
                <c:pt idx="61">
                  <c:v>4.4862782487384729</c:v>
                </c:pt>
              </c:numCache>
            </c:numRef>
          </c:xVal>
          <c:yVal>
            <c:numRef>
              <c:f>'Oil-Based Mud 1'!$CC$16:$CC$77</c:f>
              <c:numCache>
                <c:formatCode>General</c:formatCode>
                <c:ptCount val="6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BBD-46AC-AE1A-E8127A495E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01683"/>
        <c:axId val="350485"/>
      </c:scatterChart>
      <c:scatterChart>
        <c:scatterStyle val="lineMarker"/>
        <c:varyColors val="0"/>
        <c:ser>
          <c:idx val="1"/>
          <c:order val="1"/>
          <c:spPr>
            <a:ln w="12600">
              <a:solidFill>
                <a:srgbClr val="FF00FF"/>
              </a:solidFill>
              <a:round/>
            </a:ln>
          </c:spPr>
          <c:marker>
            <c:symbol val="square"/>
            <c:size val="5"/>
            <c:spPr>
              <a:solidFill>
                <a:srgbClr val="FF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12600">
                      <a:solidFill>
                        <a:srgbClr val="000000"/>
                      </a:solidFill>
                    </a:ln>
                  </c:spPr>
                </c15:leaderLines>
              </c:ext>
            </c:extLst>
          </c:dLbls>
          <c:xVal>
            <c:numRef>
              <c:f>'Oil-Based Mud 1'!$BP$16:$BP$77</c:f>
              <c:numCache>
                <c:formatCode>General</c:formatCode>
                <c:ptCount val="62"/>
                <c:pt idx="0">
                  <c:v>31.35813597682095</c:v>
                </c:pt>
                <c:pt idx="1">
                  <c:v>30.896282527964217</c:v>
                </c:pt>
                <c:pt idx="2">
                  <c:v>30.427419479061665</c:v>
                </c:pt>
                <c:pt idx="3">
                  <c:v>29.951217642389363</c:v>
                </c:pt>
                <c:pt idx="4">
                  <c:v>29.467321228248252</c:v>
                </c:pt>
                <c:pt idx="5">
                  <c:v>28.975344734373127</c:v>
                </c:pt>
                <c:pt idx="6">
                  <c:v>28.47486935146075</c:v>
                </c:pt>
                <c:pt idx="7">
                  <c:v>28.221303577904688</c:v>
                </c:pt>
                <c:pt idx="8">
                  <c:v>27.965438789508617</c:v>
                </c:pt>
                <c:pt idx="9">
                  <c:v>27.707211294954433</c:v>
                </c:pt>
                <c:pt idx="10">
                  <c:v>27.446554406641784</c:v>
                </c:pt>
                <c:pt idx="11">
                  <c:v>27.183398239555054</c:v>
                </c:pt>
                <c:pt idx="12">
                  <c:v>26.917669492430839</c:v>
                </c:pt>
                <c:pt idx="13">
                  <c:v>26.649291209284332</c:v>
                </c:pt>
                <c:pt idx="14">
                  <c:v>26.378182519095898</c:v>
                </c:pt>
                <c:pt idx="15">
                  <c:v>26.104258351162429</c:v>
                </c:pt>
                <c:pt idx="16">
                  <c:v>25.827429123273781</c:v>
                </c:pt>
                <c:pt idx="17">
                  <c:v>25.547600399474465</c:v>
                </c:pt>
                <c:pt idx="18">
                  <c:v>25.264672513704291</c:v>
                </c:pt>
                <c:pt idx="19">
                  <c:v>24.978540155065552</c:v>
                </c:pt>
                <c:pt idx="20">
                  <c:v>24.689091909823645</c:v>
                </c:pt>
                <c:pt idx="21">
                  <c:v>24.396209754492943</c:v>
                </c:pt>
                <c:pt idx="22">
                  <c:v>24.099768493467188</c:v>
                </c:pt>
                <c:pt idx="23">
                  <c:v>23.79963513359419</c:v>
                </c:pt>
                <c:pt idx="24">
                  <c:v>23.495668186831974</c:v>
                </c:pt>
                <c:pt idx="25">
                  <c:v>23.187716890612695</c:v>
                </c:pt>
                <c:pt idx="26">
                  <c:v>22.875620333724338</c:v>
                </c:pt>
                <c:pt idx="27">
                  <c:v>22.55920647332702</c:v>
                </c:pt>
                <c:pt idx="28">
                  <c:v>22.238291026059013</c:v>
                </c:pt>
                <c:pt idx="29">
                  <c:v>21.912676212941083</c:v>
                </c:pt>
                <c:pt idx="30">
                  <c:v>21.582149333805731</c:v>
                </c:pt>
                <c:pt idx="31">
                  <c:v>21.246481142066521</c:v>
                </c:pt>
                <c:pt idx="32">
                  <c:v>20.905423984547301</c:v>
                </c:pt>
                <c:pt idx="33">
                  <c:v>20.558709663477977</c:v>
                </c:pt>
                <c:pt idx="34">
                  <c:v>20.206046968189497</c:v>
                </c:pt>
                <c:pt idx="35">
                  <c:v>19.847118811912654</c:v>
                </c:pt>
                <c:pt idx="36">
                  <c:v>19.481578893602908</c:v>
                </c:pt>
                <c:pt idx="37">
                  <c:v>19.109047784784345</c:v>
                </c:pt>
                <c:pt idx="38">
                  <c:v>18.729108315525028</c:v>
                </c:pt>
                <c:pt idx="39">
                  <c:v>18.341300099724826</c:v>
                </c:pt>
                <c:pt idx="40">
                  <c:v>17.945112994953892</c:v>
                </c:pt>
                <c:pt idx="41">
                  <c:v>17.53997923189079</c:v>
                </c:pt>
                <c:pt idx="42">
                  <c:v>17.125263866833045</c:v>
                </c:pt>
                <c:pt idx="43">
                  <c:v>16.700253098745378</c:v>
                </c:pt>
                <c:pt idx="44">
                  <c:v>16.264139836328628</c:v>
                </c:pt>
                <c:pt idx="45">
                  <c:v>15.816005679979664</c:v>
                </c:pt>
                <c:pt idx="46">
                  <c:v>15.354798166131854</c:v>
                </c:pt>
                <c:pt idx="47">
                  <c:v>14.87930165619823</c:v>
                </c:pt>
                <c:pt idx="48">
                  <c:v>14.388099555870488</c:v>
                </c:pt>
                <c:pt idx="49">
                  <c:v>13.879524483322104</c:v>
                </c:pt>
                <c:pt idx="50">
                  <c:v>13.351591326004362</c:v>
                </c:pt>
                <c:pt idx="51">
                  <c:v>12.801905404670514</c:v>
                </c:pt>
                <c:pt idx="52">
                  <c:v>12.227533399816549</c:v>
                </c:pt>
                <c:pt idx="53">
                  <c:v>11.624816733915699</c:v>
                </c:pt>
                <c:pt idx="54">
                  <c:v>10.989092553556169</c:v>
                </c:pt>
                <c:pt idx="55">
                  <c:v>10.314259362849125</c:v>
                </c:pt>
                <c:pt idx="56">
                  <c:v>9.5920663705803264</c:v>
                </c:pt>
                <c:pt idx="57">
                  <c:v>8.8108755700619898</c:v>
                </c:pt>
                <c:pt idx="58">
                  <c:v>7.9533212788502636</c:v>
                </c:pt>
                <c:pt idx="59">
                  <c:v>6.9913596973771543</c:v>
                </c:pt>
                <c:pt idx="60">
                  <c:v>5.8739170467079935</c:v>
                </c:pt>
                <c:pt idx="61">
                  <c:v>4.4862782487384729</c:v>
                </c:pt>
              </c:numCache>
            </c:numRef>
          </c:xVal>
          <c:yVal>
            <c:numRef>
              <c:f>'Oil-Based Mud 1'!$CA$16:$CA$77</c:f>
              <c:numCache>
                <c:formatCode>General</c:formatCode>
                <c:ptCount val="6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BBD-46AC-AE1A-E8127A495E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153232"/>
        <c:axId val="84395441"/>
      </c:scatterChart>
      <c:valAx>
        <c:axId val="23801683"/>
        <c:scaling>
          <c:orientation val="minMax"/>
          <c:min val="5"/>
        </c:scaling>
        <c:delete val="0"/>
        <c:axPos val="b"/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1000" b="1" u="none" strike="noStrike">
                    <a:solidFill>
                      <a:srgbClr val="000000"/>
                    </a:solidFill>
                    <a:uFillTx/>
                    <a:latin typeface="Arial"/>
                  </a:rPr>
                  <a:t>Depth of Invasion (inch)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000" b="0" u="none" strike="noStrike">
                <a:solidFill>
                  <a:srgbClr val="000000"/>
                </a:solidFill>
                <a:uFillTx/>
                <a:latin typeface="Arial"/>
              </a:defRPr>
            </a:pPr>
            <a:endParaRPr lang="en-US"/>
          </a:p>
        </c:txPr>
        <c:crossAx val="350485"/>
        <c:crosses val="autoZero"/>
        <c:crossBetween val="midCat"/>
        <c:majorUnit val="4"/>
      </c:valAx>
      <c:valAx>
        <c:axId val="350485"/>
        <c:scaling>
          <c:orientation val="minMax"/>
          <c:min val="0.5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1000" b="1" u="none" strike="noStrike">
                    <a:solidFill>
                      <a:srgbClr val="000000"/>
                    </a:solidFill>
                    <a:uFillTx/>
                    <a:latin typeface="Arial"/>
                  </a:rPr>
                  <a:t>Skin Factor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000" b="0" u="none" strike="noStrike">
                <a:solidFill>
                  <a:srgbClr val="000000"/>
                </a:solidFill>
                <a:uFillTx/>
                <a:latin typeface="Arial"/>
              </a:defRPr>
            </a:pPr>
            <a:endParaRPr lang="en-US"/>
          </a:p>
        </c:txPr>
        <c:crossAx val="23801683"/>
        <c:crosses val="autoZero"/>
        <c:crossBetween val="midCat"/>
      </c:valAx>
      <c:valAx>
        <c:axId val="71153232"/>
        <c:scaling>
          <c:orientation val="minMax"/>
        </c:scaling>
        <c:delete val="1"/>
        <c:axPos val="b"/>
        <c:numFmt formatCode="General" sourceLinked="1"/>
        <c:majorTickMark val="cross"/>
        <c:minorTickMark val="none"/>
        <c:tickLblPos val="nextTo"/>
        <c:crossAx val="84395441"/>
        <c:crosses val="autoZero"/>
        <c:crossBetween val="midCat"/>
      </c:valAx>
      <c:valAx>
        <c:axId val="84395441"/>
        <c:scaling>
          <c:orientation val="minMax"/>
        </c:scaling>
        <c:delete val="0"/>
        <c:axPos val="r"/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1000" b="1" u="none" strike="noStrike">
                    <a:solidFill>
                      <a:srgbClr val="000000"/>
                    </a:solidFill>
                    <a:uFillTx/>
                    <a:latin typeface="Arial"/>
                  </a:rPr>
                  <a:t>Average Permeability (md)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000" b="0" u="none" strike="noStrike">
                <a:solidFill>
                  <a:srgbClr val="000000"/>
                </a:solidFill>
                <a:uFillTx/>
                <a:latin typeface="Arial"/>
              </a:defRPr>
            </a:pPr>
            <a:endParaRPr lang="en-US"/>
          </a:p>
        </c:txPr>
        <c:crossAx val="71153232"/>
        <c:crosses val="max"/>
        <c:crossBetween val="midCat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plotVisOnly val="1"/>
    <c:dispBlanksAs val="gap"/>
    <c:showDLblsOverMax val="1"/>
  </c:chart>
  <c:spPr>
    <a:solidFill>
      <a:srgbClr val="FFFFFF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8388089614201"/>
          <c:y val="8.6372613561553693E-2"/>
          <c:w val="0.83437119748049504"/>
          <c:h val="0.76023699802501599"/>
        </c:manualLayout>
      </c:layout>
      <c:scatterChart>
        <c:scatterStyle val="lineMarker"/>
        <c:varyColors val="0"/>
        <c:ser>
          <c:idx val="0"/>
          <c:order val="0"/>
          <c:spPr>
            <a:ln w="0">
              <a:solidFill>
                <a:srgbClr val="000080"/>
              </a:solidFill>
            </a:ln>
          </c:spPr>
          <c:marker>
            <c:symbol val="diamond"/>
            <c:size val="3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'Oil-Based Mud 1'!$AV$16:$AV$70</c:f>
              <c:numCache>
                <c:formatCode>0.00</c:formatCode>
                <c:ptCount val="55"/>
                <c:pt idx="0" formatCode="General">
                  <c:v>0</c:v>
                </c:pt>
                <c:pt idx="1">
                  <c:v>1</c:v>
                </c:pt>
                <c:pt idx="2" formatCode="General">
                  <c:v>2</c:v>
                </c:pt>
                <c:pt idx="3" formatCode="General">
                  <c:v>5</c:v>
                </c:pt>
                <c:pt idx="4" formatCode="General">
                  <c:v>10</c:v>
                </c:pt>
                <c:pt idx="5" formatCode="General">
                  <c:v>20</c:v>
                </c:pt>
                <c:pt idx="6" formatCode="General">
                  <c:v>30</c:v>
                </c:pt>
                <c:pt idx="7" formatCode="General">
                  <c:v>35</c:v>
                </c:pt>
                <c:pt idx="8" formatCode="General">
                  <c:v>45</c:v>
                </c:pt>
                <c:pt idx="9" formatCode="General">
                  <c:v>55</c:v>
                </c:pt>
                <c:pt idx="10" formatCode="General">
                  <c:v>65</c:v>
                </c:pt>
                <c:pt idx="11" formatCode="General">
                  <c:v>75</c:v>
                </c:pt>
                <c:pt idx="12" formatCode="General">
                  <c:v>85</c:v>
                </c:pt>
                <c:pt idx="13" formatCode="General">
                  <c:v>95</c:v>
                </c:pt>
                <c:pt idx="14" formatCode="General">
                  <c:v>105</c:v>
                </c:pt>
                <c:pt idx="15" formatCode="General">
                  <c:v>115</c:v>
                </c:pt>
                <c:pt idx="16" formatCode="General">
                  <c:v>125</c:v>
                </c:pt>
                <c:pt idx="17" formatCode="General">
                  <c:v>135</c:v>
                </c:pt>
                <c:pt idx="18" formatCode="General">
                  <c:v>145</c:v>
                </c:pt>
                <c:pt idx="19" formatCode="General">
                  <c:v>155</c:v>
                </c:pt>
                <c:pt idx="20" formatCode="General">
                  <c:v>165</c:v>
                </c:pt>
                <c:pt idx="21" formatCode="General">
                  <c:v>175</c:v>
                </c:pt>
                <c:pt idx="22" formatCode="General">
                  <c:v>185</c:v>
                </c:pt>
                <c:pt idx="23" formatCode="General">
                  <c:v>195</c:v>
                </c:pt>
                <c:pt idx="24" formatCode="General">
                  <c:v>205</c:v>
                </c:pt>
                <c:pt idx="25" formatCode="General">
                  <c:v>215</c:v>
                </c:pt>
                <c:pt idx="26" formatCode="General">
                  <c:v>225</c:v>
                </c:pt>
                <c:pt idx="27" formatCode="General">
                  <c:v>255</c:v>
                </c:pt>
                <c:pt idx="28" formatCode="General">
                  <c:v>285</c:v>
                </c:pt>
                <c:pt idx="29" formatCode="General">
                  <c:v>385</c:v>
                </c:pt>
                <c:pt idx="30" formatCode="General">
                  <c:v>485</c:v>
                </c:pt>
                <c:pt idx="31" formatCode="General">
                  <c:v>585</c:v>
                </c:pt>
                <c:pt idx="32" formatCode="General">
                  <c:v>685</c:v>
                </c:pt>
                <c:pt idx="33" formatCode="General">
                  <c:v>785</c:v>
                </c:pt>
                <c:pt idx="34" formatCode="General">
                  <c:v>885</c:v>
                </c:pt>
                <c:pt idx="35" formatCode="General">
                  <c:v>985</c:v>
                </c:pt>
                <c:pt idx="36" formatCode="General">
                  <c:v>1085</c:v>
                </c:pt>
                <c:pt idx="37" formatCode="General">
                  <c:v>1185</c:v>
                </c:pt>
                <c:pt idx="38" formatCode="General">
                  <c:v>1285</c:v>
                </c:pt>
                <c:pt idx="39" formatCode="General">
                  <c:v>1385</c:v>
                </c:pt>
                <c:pt idx="40" formatCode="General">
                  <c:v>1485</c:v>
                </c:pt>
                <c:pt idx="41" formatCode="General">
                  <c:v>1585</c:v>
                </c:pt>
                <c:pt idx="42" formatCode="General">
                  <c:v>1685</c:v>
                </c:pt>
                <c:pt idx="43" formatCode="General">
                  <c:v>1785</c:v>
                </c:pt>
                <c:pt idx="44" formatCode="General">
                  <c:v>1885</c:v>
                </c:pt>
                <c:pt idx="45" formatCode="General">
                  <c:v>1985</c:v>
                </c:pt>
                <c:pt idx="46" formatCode="General">
                  <c:v>2085</c:v>
                </c:pt>
                <c:pt idx="47" formatCode="General">
                  <c:v>2585</c:v>
                </c:pt>
                <c:pt idx="48" formatCode="General">
                  <c:v>2785</c:v>
                </c:pt>
                <c:pt idx="49" formatCode="General">
                  <c:v>2985</c:v>
                </c:pt>
                <c:pt idx="50" formatCode="General">
                  <c:v>3185</c:v>
                </c:pt>
                <c:pt idx="51" formatCode="General">
                  <c:v>3385</c:v>
                </c:pt>
                <c:pt idx="52" formatCode="General">
                  <c:v>3585</c:v>
                </c:pt>
                <c:pt idx="53" formatCode="General">
                  <c:v>3420</c:v>
                </c:pt>
                <c:pt idx="54">
                  <c:v>3420</c:v>
                </c:pt>
              </c:numCache>
            </c:numRef>
          </c:xVal>
          <c:yVal>
            <c:numRef>
              <c:f>'Oil-Based Mud 1'!$CI$16:$CI$70</c:f>
              <c:numCache>
                <c:formatCode>General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1B-42EB-A6A7-CC9A45962AE7}"/>
            </c:ext>
          </c:extLst>
        </c:ser>
        <c:ser>
          <c:idx val="1"/>
          <c:order val="1"/>
          <c:spPr>
            <a:ln w="0">
              <a:solidFill>
                <a:srgbClr val="FF00FF"/>
              </a:solidFill>
            </a:ln>
          </c:spPr>
          <c:marker>
            <c:symbol val="square"/>
            <c:size val="3"/>
            <c:spPr>
              <a:solidFill>
                <a:srgbClr val="FF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'Oil-Based Mud 1'!$AV$16:$AV$70</c:f>
              <c:numCache>
                <c:formatCode>0.00</c:formatCode>
                <c:ptCount val="55"/>
                <c:pt idx="0" formatCode="General">
                  <c:v>0</c:v>
                </c:pt>
                <c:pt idx="1">
                  <c:v>1</c:v>
                </c:pt>
                <c:pt idx="2" formatCode="General">
                  <c:v>2</c:v>
                </c:pt>
                <c:pt idx="3" formatCode="General">
                  <c:v>5</c:v>
                </c:pt>
                <c:pt idx="4" formatCode="General">
                  <c:v>10</c:v>
                </c:pt>
                <c:pt idx="5" formatCode="General">
                  <c:v>20</c:v>
                </c:pt>
                <c:pt idx="6" formatCode="General">
                  <c:v>30</c:v>
                </c:pt>
                <c:pt idx="7" formatCode="General">
                  <c:v>35</c:v>
                </c:pt>
                <c:pt idx="8" formatCode="General">
                  <c:v>45</c:v>
                </c:pt>
                <c:pt idx="9" formatCode="General">
                  <c:v>55</c:v>
                </c:pt>
                <c:pt idx="10" formatCode="General">
                  <c:v>65</c:v>
                </c:pt>
                <c:pt idx="11" formatCode="General">
                  <c:v>75</c:v>
                </c:pt>
                <c:pt idx="12" formatCode="General">
                  <c:v>85</c:v>
                </c:pt>
                <c:pt idx="13" formatCode="General">
                  <c:v>95</c:v>
                </c:pt>
                <c:pt idx="14" formatCode="General">
                  <c:v>105</c:v>
                </c:pt>
                <c:pt idx="15" formatCode="General">
                  <c:v>115</c:v>
                </c:pt>
                <c:pt idx="16" formatCode="General">
                  <c:v>125</c:v>
                </c:pt>
                <c:pt idx="17" formatCode="General">
                  <c:v>135</c:v>
                </c:pt>
                <c:pt idx="18" formatCode="General">
                  <c:v>145</c:v>
                </c:pt>
                <c:pt idx="19" formatCode="General">
                  <c:v>155</c:v>
                </c:pt>
                <c:pt idx="20" formatCode="General">
                  <c:v>165</c:v>
                </c:pt>
                <c:pt idx="21" formatCode="General">
                  <c:v>175</c:v>
                </c:pt>
                <c:pt idx="22" formatCode="General">
                  <c:v>185</c:v>
                </c:pt>
                <c:pt idx="23" formatCode="General">
                  <c:v>195</c:v>
                </c:pt>
                <c:pt idx="24" formatCode="General">
                  <c:v>205</c:v>
                </c:pt>
                <c:pt idx="25" formatCode="General">
                  <c:v>215</c:v>
                </c:pt>
                <c:pt idx="26" formatCode="General">
                  <c:v>225</c:v>
                </c:pt>
                <c:pt idx="27" formatCode="General">
                  <c:v>255</c:v>
                </c:pt>
                <c:pt idx="28" formatCode="General">
                  <c:v>285</c:v>
                </c:pt>
                <c:pt idx="29" formatCode="General">
                  <c:v>385</c:v>
                </c:pt>
                <c:pt idx="30" formatCode="General">
                  <c:v>485</c:v>
                </c:pt>
                <c:pt idx="31" formatCode="General">
                  <c:v>585</c:v>
                </c:pt>
                <c:pt idx="32" formatCode="General">
                  <c:v>685</c:v>
                </c:pt>
                <c:pt idx="33" formatCode="General">
                  <c:v>785</c:v>
                </c:pt>
                <c:pt idx="34" formatCode="General">
                  <c:v>885</c:v>
                </c:pt>
                <c:pt idx="35" formatCode="General">
                  <c:v>985</c:v>
                </c:pt>
                <c:pt idx="36" formatCode="General">
                  <c:v>1085</c:v>
                </c:pt>
                <c:pt idx="37" formatCode="General">
                  <c:v>1185</c:v>
                </c:pt>
                <c:pt idx="38" formatCode="General">
                  <c:v>1285</c:v>
                </c:pt>
                <c:pt idx="39" formatCode="General">
                  <c:v>1385</c:v>
                </c:pt>
                <c:pt idx="40" formatCode="General">
                  <c:v>1485</c:v>
                </c:pt>
                <c:pt idx="41" formatCode="General">
                  <c:v>1585</c:v>
                </c:pt>
                <c:pt idx="42" formatCode="General">
                  <c:v>1685</c:v>
                </c:pt>
                <c:pt idx="43" formatCode="General">
                  <c:v>1785</c:v>
                </c:pt>
                <c:pt idx="44" formatCode="General">
                  <c:v>1885</c:v>
                </c:pt>
                <c:pt idx="45" formatCode="General">
                  <c:v>1985</c:v>
                </c:pt>
                <c:pt idx="46" formatCode="General">
                  <c:v>2085</c:v>
                </c:pt>
                <c:pt idx="47" formatCode="General">
                  <c:v>2585</c:v>
                </c:pt>
                <c:pt idx="48" formatCode="General">
                  <c:v>2785</c:v>
                </c:pt>
                <c:pt idx="49" formatCode="General">
                  <c:v>2985</c:v>
                </c:pt>
                <c:pt idx="50" formatCode="General">
                  <c:v>3185</c:v>
                </c:pt>
                <c:pt idx="51" formatCode="General">
                  <c:v>3385</c:v>
                </c:pt>
                <c:pt idx="52" formatCode="General">
                  <c:v>3585</c:v>
                </c:pt>
                <c:pt idx="53" formatCode="General">
                  <c:v>3420</c:v>
                </c:pt>
                <c:pt idx="54">
                  <c:v>3420</c:v>
                </c:pt>
              </c:numCache>
            </c:numRef>
          </c:xVal>
          <c:yVal>
            <c:numRef>
              <c:f>'Oil-Based Mud 1'!$CH$16:$CH$70</c:f>
              <c:numCache>
                <c:formatCode>General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51B-42EB-A6A7-CC9A45962A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47339"/>
        <c:axId val="3838368"/>
      </c:scatterChart>
      <c:valAx>
        <c:axId val="55247339"/>
        <c:scaling>
          <c:orientation val="minMax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925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Time (min)</a:t>
                </a:r>
              </a:p>
            </c:rich>
          </c:tx>
          <c:layout>
            <c:manualLayout>
              <c:xMode val="edge"/>
              <c:yMode val="edge"/>
              <c:x val="0.431322024192971"/>
              <c:y val="0.91020408163265298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925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3838368"/>
        <c:crosses val="autoZero"/>
        <c:crossBetween val="midCat"/>
      </c:valAx>
      <c:valAx>
        <c:axId val="3838368"/>
        <c:scaling>
          <c:orientation val="minMax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925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Initial  prmeability  (md)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925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55247339"/>
        <c:crosses val="autoZero"/>
        <c:crossBetween val="midCat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legendPos val="r"/>
      <c:overlay val="0"/>
      <c:spPr>
        <a:solidFill>
          <a:srgbClr val="FFFFFF"/>
        </a:solidFill>
        <a:ln w="0">
          <a:solidFill>
            <a:srgbClr val="000000"/>
          </a:solidFill>
        </a:ln>
      </c:spPr>
      <c:txPr>
        <a:bodyPr/>
        <a:lstStyle/>
        <a:p>
          <a:pPr>
            <a:defRPr sz="925" b="1" u="none" strike="noStrike">
              <a:solidFill>
                <a:srgbClr val="000000"/>
              </a:solidFill>
              <a:uFillTx/>
              <a:latin typeface="Times New Roman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8080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0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'Oil-Based Mud 1'!$AV$16:$AV$70</c:f>
              <c:numCache>
                <c:formatCode>0.00</c:formatCode>
                <c:ptCount val="55"/>
                <c:pt idx="0" formatCode="General">
                  <c:v>0</c:v>
                </c:pt>
                <c:pt idx="1">
                  <c:v>1</c:v>
                </c:pt>
                <c:pt idx="2" formatCode="General">
                  <c:v>2</c:v>
                </c:pt>
                <c:pt idx="3" formatCode="General">
                  <c:v>5</c:v>
                </c:pt>
                <c:pt idx="4" formatCode="General">
                  <c:v>10</c:v>
                </c:pt>
                <c:pt idx="5" formatCode="General">
                  <c:v>20</c:v>
                </c:pt>
                <c:pt idx="6" formatCode="General">
                  <c:v>30</c:v>
                </c:pt>
                <c:pt idx="7" formatCode="General">
                  <c:v>35</c:v>
                </c:pt>
                <c:pt idx="8" formatCode="General">
                  <c:v>45</c:v>
                </c:pt>
                <c:pt idx="9" formatCode="General">
                  <c:v>55</c:v>
                </c:pt>
                <c:pt idx="10" formatCode="General">
                  <c:v>65</c:v>
                </c:pt>
                <c:pt idx="11" formatCode="General">
                  <c:v>75</c:v>
                </c:pt>
                <c:pt idx="12" formatCode="General">
                  <c:v>85</c:v>
                </c:pt>
                <c:pt idx="13" formatCode="General">
                  <c:v>95</c:v>
                </c:pt>
                <c:pt idx="14" formatCode="General">
                  <c:v>105</c:v>
                </c:pt>
                <c:pt idx="15" formatCode="General">
                  <c:v>115</c:v>
                </c:pt>
                <c:pt idx="16" formatCode="General">
                  <c:v>125</c:v>
                </c:pt>
                <c:pt idx="17" formatCode="General">
                  <c:v>135</c:v>
                </c:pt>
                <c:pt idx="18" formatCode="General">
                  <c:v>145</c:v>
                </c:pt>
                <c:pt idx="19" formatCode="General">
                  <c:v>155</c:v>
                </c:pt>
                <c:pt idx="20" formatCode="General">
                  <c:v>165</c:v>
                </c:pt>
                <c:pt idx="21" formatCode="General">
                  <c:v>175</c:v>
                </c:pt>
                <c:pt idx="22" formatCode="General">
                  <c:v>185</c:v>
                </c:pt>
                <c:pt idx="23" formatCode="General">
                  <c:v>195</c:v>
                </c:pt>
                <c:pt idx="24" formatCode="General">
                  <c:v>205</c:v>
                </c:pt>
                <c:pt idx="25" formatCode="General">
                  <c:v>215</c:v>
                </c:pt>
                <c:pt idx="26" formatCode="General">
                  <c:v>225</c:v>
                </c:pt>
                <c:pt idx="27" formatCode="General">
                  <c:v>255</c:v>
                </c:pt>
                <c:pt idx="28" formatCode="General">
                  <c:v>285</c:v>
                </c:pt>
                <c:pt idx="29" formatCode="General">
                  <c:v>385</c:v>
                </c:pt>
                <c:pt idx="30" formatCode="General">
                  <c:v>485</c:v>
                </c:pt>
                <c:pt idx="31" formatCode="General">
                  <c:v>585</c:v>
                </c:pt>
                <c:pt idx="32" formatCode="General">
                  <c:v>685</c:v>
                </c:pt>
                <c:pt idx="33" formatCode="General">
                  <c:v>785</c:v>
                </c:pt>
                <c:pt idx="34" formatCode="General">
                  <c:v>885</c:v>
                </c:pt>
                <c:pt idx="35" formatCode="General">
                  <c:v>985</c:v>
                </c:pt>
                <c:pt idx="36" formatCode="General">
                  <c:v>1085</c:v>
                </c:pt>
                <c:pt idx="37" formatCode="General">
                  <c:v>1185</c:v>
                </c:pt>
                <c:pt idx="38" formatCode="General">
                  <c:v>1285</c:v>
                </c:pt>
                <c:pt idx="39" formatCode="General">
                  <c:v>1385</c:v>
                </c:pt>
                <c:pt idx="40" formatCode="General">
                  <c:v>1485</c:v>
                </c:pt>
                <c:pt idx="41" formatCode="General">
                  <c:v>1585</c:v>
                </c:pt>
                <c:pt idx="42" formatCode="General">
                  <c:v>1685</c:v>
                </c:pt>
                <c:pt idx="43" formatCode="General">
                  <c:v>1785</c:v>
                </c:pt>
                <c:pt idx="44" formatCode="General">
                  <c:v>1885</c:v>
                </c:pt>
                <c:pt idx="45" formatCode="General">
                  <c:v>1985</c:v>
                </c:pt>
                <c:pt idx="46" formatCode="General">
                  <c:v>2085</c:v>
                </c:pt>
                <c:pt idx="47" formatCode="General">
                  <c:v>2585</c:v>
                </c:pt>
                <c:pt idx="48" formatCode="General">
                  <c:v>2785</c:v>
                </c:pt>
                <c:pt idx="49" formatCode="General">
                  <c:v>2985</c:v>
                </c:pt>
                <c:pt idx="50" formatCode="General">
                  <c:v>3185</c:v>
                </c:pt>
                <c:pt idx="51" formatCode="General">
                  <c:v>3385</c:v>
                </c:pt>
                <c:pt idx="52" formatCode="General">
                  <c:v>3585</c:v>
                </c:pt>
                <c:pt idx="53" formatCode="General">
                  <c:v>3420</c:v>
                </c:pt>
                <c:pt idx="54">
                  <c:v>3420</c:v>
                </c:pt>
              </c:numCache>
            </c:numRef>
          </c:xVal>
          <c:yVal>
            <c:numRef>
              <c:f>'Oil-Based Mud 1'!$CR$16:$CR$70</c:f>
              <c:numCache>
                <c:formatCode>General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DF-4ABA-9CD1-8BEEF70EBA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8552"/>
        <c:axId val="97196345"/>
      </c:scatterChart>
      <c:valAx>
        <c:axId val="39855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800" b="1" u="none" strike="noStrike">
                    <a:solidFill>
                      <a:srgbClr val="000000"/>
                    </a:solidFill>
                    <a:uFillTx/>
                    <a:latin typeface="Arial"/>
                  </a:rPr>
                  <a:t>Drilling Time (min)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00" b="1" u="none" strike="noStrike">
                <a:solidFill>
                  <a:srgbClr val="000000"/>
                </a:solidFill>
                <a:uFillTx/>
                <a:latin typeface="Arial"/>
              </a:defRPr>
            </a:pPr>
            <a:endParaRPr lang="en-US"/>
          </a:p>
        </c:txPr>
        <c:crossAx val="97196345"/>
        <c:crosses val="autoZero"/>
        <c:crossBetween val="midCat"/>
        <c:majorUnit val="500"/>
      </c:valAx>
      <c:valAx>
        <c:axId val="97196345"/>
        <c:scaling>
          <c:orientation val="minMax"/>
          <c:max val="7"/>
          <c:min val="0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800" b="1" u="none" strike="noStrike">
                    <a:solidFill>
                      <a:srgbClr val="000000"/>
                    </a:solidFill>
                    <a:uFillTx/>
                    <a:latin typeface="Arial"/>
                  </a:rPr>
                  <a:t>Skin Factor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00" b="1" u="none" strike="noStrike">
                <a:solidFill>
                  <a:srgbClr val="000000"/>
                </a:solidFill>
                <a:uFillTx/>
                <a:latin typeface="Arial"/>
              </a:defRPr>
            </a:pPr>
            <a:endParaRPr lang="en-US"/>
          </a:p>
        </c:txPr>
        <c:crossAx val="398552"/>
        <c:crosses val="autoZero"/>
        <c:crossBetween val="midCat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plotVisOnly val="1"/>
    <c:dispBlanksAs val="gap"/>
    <c:showDLblsOverMax val="1"/>
  </c:chart>
  <c:spPr>
    <a:solidFill>
      <a:srgbClr val="FF99CC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01057213930348"/>
          <c:y val="6.6123778501628705E-2"/>
          <c:w val="0.87826492537313405"/>
          <c:h val="0.80401737242128102"/>
        </c:manualLayout>
      </c:layout>
      <c:scatterChart>
        <c:scatterStyle val="lineMarker"/>
        <c:varyColors val="0"/>
        <c:ser>
          <c:idx val="0"/>
          <c:order val="0"/>
          <c:tx>
            <c:v>Dynamic Filtration</c:v>
          </c:tx>
          <c:spPr>
            <a:ln w="0">
              <a:solidFill>
                <a:srgbClr val="000080"/>
              </a:solidFill>
            </a:ln>
          </c:spPr>
          <c:marker>
            <c:symbol val="diamond"/>
            <c:size val="3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'Oil-Based Mud 3'!$AK$3:$AK$57</c:f>
              <c:numCache>
                <c:formatCode>0.00</c:formatCode>
                <c:ptCount val="55"/>
                <c:pt idx="0" formatCode="General">
                  <c:v>0</c:v>
                </c:pt>
                <c:pt idx="1">
                  <c:v>1</c:v>
                </c:pt>
                <c:pt idx="2" formatCode="General">
                  <c:v>2</c:v>
                </c:pt>
                <c:pt idx="3" formatCode="General">
                  <c:v>5</c:v>
                </c:pt>
                <c:pt idx="4" formatCode="General">
                  <c:v>10</c:v>
                </c:pt>
                <c:pt idx="5" formatCode="General">
                  <c:v>20</c:v>
                </c:pt>
                <c:pt idx="6" formatCode="General">
                  <c:v>30</c:v>
                </c:pt>
                <c:pt idx="7" formatCode="General">
                  <c:v>35</c:v>
                </c:pt>
                <c:pt idx="8" formatCode="General">
                  <c:v>45</c:v>
                </c:pt>
                <c:pt idx="9" formatCode="General">
                  <c:v>55</c:v>
                </c:pt>
                <c:pt idx="10" formatCode="General">
                  <c:v>65</c:v>
                </c:pt>
                <c:pt idx="11" formatCode="General">
                  <c:v>75</c:v>
                </c:pt>
                <c:pt idx="12" formatCode="General">
                  <c:v>85</c:v>
                </c:pt>
                <c:pt idx="13" formatCode="General">
                  <c:v>95</c:v>
                </c:pt>
                <c:pt idx="14" formatCode="General">
                  <c:v>105</c:v>
                </c:pt>
                <c:pt idx="15" formatCode="General">
                  <c:v>115</c:v>
                </c:pt>
                <c:pt idx="16" formatCode="General">
                  <c:v>125</c:v>
                </c:pt>
                <c:pt idx="17" formatCode="General">
                  <c:v>135</c:v>
                </c:pt>
                <c:pt idx="18" formatCode="General">
                  <c:v>145</c:v>
                </c:pt>
                <c:pt idx="19" formatCode="General">
                  <c:v>155</c:v>
                </c:pt>
                <c:pt idx="20" formatCode="General">
                  <c:v>165</c:v>
                </c:pt>
                <c:pt idx="21" formatCode="General">
                  <c:v>175</c:v>
                </c:pt>
                <c:pt idx="22" formatCode="General">
                  <c:v>185</c:v>
                </c:pt>
                <c:pt idx="23" formatCode="General">
                  <c:v>195</c:v>
                </c:pt>
                <c:pt idx="24" formatCode="General">
                  <c:v>205</c:v>
                </c:pt>
                <c:pt idx="25" formatCode="General">
                  <c:v>215</c:v>
                </c:pt>
                <c:pt idx="26" formatCode="General">
                  <c:v>225</c:v>
                </c:pt>
                <c:pt idx="27" formatCode="General">
                  <c:v>255</c:v>
                </c:pt>
                <c:pt idx="28" formatCode="General">
                  <c:v>285</c:v>
                </c:pt>
                <c:pt idx="29" formatCode="General">
                  <c:v>385</c:v>
                </c:pt>
                <c:pt idx="30" formatCode="General">
                  <c:v>485</c:v>
                </c:pt>
                <c:pt idx="31" formatCode="General">
                  <c:v>585</c:v>
                </c:pt>
                <c:pt idx="32" formatCode="General">
                  <c:v>685</c:v>
                </c:pt>
                <c:pt idx="33" formatCode="General">
                  <c:v>785</c:v>
                </c:pt>
                <c:pt idx="34" formatCode="General">
                  <c:v>885</c:v>
                </c:pt>
                <c:pt idx="35" formatCode="General">
                  <c:v>985</c:v>
                </c:pt>
                <c:pt idx="36" formatCode="General">
                  <c:v>1085</c:v>
                </c:pt>
                <c:pt idx="37" formatCode="General">
                  <c:v>1185</c:v>
                </c:pt>
                <c:pt idx="38" formatCode="General">
                  <c:v>1285</c:v>
                </c:pt>
                <c:pt idx="39" formatCode="General">
                  <c:v>1385</c:v>
                </c:pt>
                <c:pt idx="40" formatCode="General">
                  <c:v>1485</c:v>
                </c:pt>
                <c:pt idx="41" formatCode="General">
                  <c:v>1585</c:v>
                </c:pt>
                <c:pt idx="42" formatCode="General">
                  <c:v>1685</c:v>
                </c:pt>
                <c:pt idx="43" formatCode="General">
                  <c:v>1785</c:v>
                </c:pt>
                <c:pt idx="44" formatCode="General">
                  <c:v>1885</c:v>
                </c:pt>
                <c:pt idx="45" formatCode="General">
                  <c:v>1985</c:v>
                </c:pt>
                <c:pt idx="46" formatCode="General">
                  <c:v>2085</c:v>
                </c:pt>
                <c:pt idx="47" formatCode="General">
                  <c:v>2585</c:v>
                </c:pt>
                <c:pt idx="48" formatCode="General">
                  <c:v>3085</c:v>
                </c:pt>
                <c:pt idx="49" formatCode="General">
                  <c:v>3585</c:v>
                </c:pt>
                <c:pt idx="50" formatCode="General">
                  <c:v>4085</c:v>
                </c:pt>
                <c:pt idx="51" formatCode="General">
                  <c:v>4585</c:v>
                </c:pt>
                <c:pt idx="52" formatCode="General">
                  <c:v>5085</c:v>
                </c:pt>
                <c:pt idx="53" formatCode="General">
                  <c:v>5585</c:v>
                </c:pt>
                <c:pt idx="54">
                  <c:v>3420</c:v>
                </c:pt>
              </c:numCache>
            </c:numRef>
          </c:xVal>
          <c:yVal>
            <c:numRef>
              <c:f>'Oil-Based Mud 3'!$AL$3:$AL$57</c:f>
              <c:numCache>
                <c:formatCode>0.00</c:formatCode>
                <c:ptCount val="55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4F-4DD8-819A-9352DE40A257}"/>
            </c:ext>
          </c:extLst>
        </c:ser>
        <c:ser>
          <c:idx val="1"/>
          <c:order val="1"/>
          <c:tx>
            <c:v>Static Filtration</c:v>
          </c:tx>
          <c:spPr>
            <a:ln w="0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'Oil-Based Mud 3'!$AK$3:$AK$45</c:f>
              <c:numCache>
                <c:formatCode>0.00</c:formatCode>
                <c:ptCount val="43"/>
                <c:pt idx="0" formatCode="General">
                  <c:v>0</c:v>
                </c:pt>
                <c:pt idx="1">
                  <c:v>1</c:v>
                </c:pt>
                <c:pt idx="2" formatCode="General">
                  <c:v>2</c:v>
                </c:pt>
                <c:pt idx="3" formatCode="General">
                  <c:v>5</c:v>
                </c:pt>
                <c:pt idx="4" formatCode="General">
                  <c:v>10</c:v>
                </c:pt>
                <c:pt idx="5" formatCode="General">
                  <c:v>20</c:v>
                </c:pt>
                <c:pt idx="6" formatCode="General">
                  <c:v>30</c:v>
                </c:pt>
                <c:pt idx="7" formatCode="General">
                  <c:v>35</c:v>
                </c:pt>
                <c:pt idx="8" formatCode="General">
                  <c:v>45</c:v>
                </c:pt>
                <c:pt idx="9" formatCode="General">
                  <c:v>55</c:v>
                </c:pt>
                <c:pt idx="10" formatCode="General">
                  <c:v>65</c:v>
                </c:pt>
                <c:pt idx="11" formatCode="General">
                  <c:v>75</c:v>
                </c:pt>
                <c:pt idx="12" formatCode="General">
                  <c:v>85</c:v>
                </c:pt>
                <c:pt idx="13" formatCode="General">
                  <c:v>95</c:v>
                </c:pt>
                <c:pt idx="14" formatCode="General">
                  <c:v>105</c:v>
                </c:pt>
                <c:pt idx="15" formatCode="General">
                  <c:v>115</c:v>
                </c:pt>
                <c:pt idx="16" formatCode="General">
                  <c:v>125</c:v>
                </c:pt>
                <c:pt idx="17" formatCode="General">
                  <c:v>135</c:v>
                </c:pt>
                <c:pt idx="18" formatCode="General">
                  <c:v>145</c:v>
                </c:pt>
                <c:pt idx="19" formatCode="General">
                  <c:v>155</c:v>
                </c:pt>
                <c:pt idx="20" formatCode="General">
                  <c:v>165</c:v>
                </c:pt>
                <c:pt idx="21" formatCode="General">
                  <c:v>175</c:v>
                </c:pt>
                <c:pt idx="22" formatCode="General">
                  <c:v>185</c:v>
                </c:pt>
                <c:pt idx="23" formatCode="General">
                  <c:v>195</c:v>
                </c:pt>
                <c:pt idx="24" formatCode="General">
                  <c:v>205</c:v>
                </c:pt>
                <c:pt idx="25" formatCode="General">
                  <c:v>215</c:v>
                </c:pt>
                <c:pt idx="26" formatCode="General">
                  <c:v>225</c:v>
                </c:pt>
                <c:pt idx="27" formatCode="General">
                  <c:v>255</c:v>
                </c:pt>
                <c:pt idx="28" formatCode="General">
                  <c:v>285</c:v>
                </c:pt>
                <c:pt idx="29" formatCode="General">
                  <c:v>385</c:v>
                </c:pt>
                <c:pt idx="30" formatCode="General">
                  <c:v>485</c:v>
                </c:pt>
                <c:pt idx="31" formatCode="General">
                  <c:v>585</c:v>
                </c:pt>
                <c:pt idx="32" formatCode="General">
                  <c:v>685</c:v>
                </c:pt>
                <c:pt idx="33" formatCode="General">
                  <c:v>785</c:v>
                </c:pt>
                <c:pt idx="34" formatCode="General">
                  <c:v>885</c:v>
                </c:pt>
                <c:pt idx="35" formatCode="General">
                  <c:v>985</c:v>
                </c:pt>
                <c:pt idx="36" formatCode="General">
                  <c:v>1085</c:v>
                </c:pt>
                <c:pt idx="37" formatCode="General">
                  <c:v>1185</c:v>
                </c:pt>
                <c:pt idx="38" formatCode="General">
                  <c:v>1285</c:v>
                </c:pt>
                <c:pt idx="39" formatCode="General">
                  <c:v>1385</c:v>
                </c:pt>
                <c:pt idx="40" formatCode="General">
                  <c:v>1485</c:v>
                </c:pt>
                <c:pt idx="41" formatCode="General">
                  <c:v>1585</c:v>
                </c:pt>
                <c:pt idx="42" formatCode="General">
                  <c:v>1685</c:v>
                </c:pt>
              </c:numCache>
            </c:numRef>
          </c:xVal>
          <c:yVal>
            <c:numRef>
              <c:f>'Oil-Based Mud 3'!$AJ$3:$AJ$45</c:f>
              <c:numCache>
                <c:formatCode>General</c:formatCode>
                <c:ptCount val="43"/>
                <c:pt idx="0">
                  <c:v>0</c:v>
                </c:pt>
                <c:pt idx="1">
                  <c:v>9.7016097031992404E-2</c:v>
                </c:pt>
                <c:pt idx="2">
                  <c:v>0.18003133393410201</c:v>
                </c:pt>
                <c:pt idx="3">
                  <c:v>0.38267450096057598</c:v>
                </c:pt>
                <c:pt idx="4">
                  <c:v>0.64218571044560002</c:v>
                </c:pt>
                <c:pt idx="5">
                  <c:v>1.0335457969383099</c:v>
                </c:pt>
                <c:pt idx="6">
                  <c:v>1.34296371395599</c:v>
                </c:pt>
                <c:pt idx="7">
                  <c:v>1.4794832390102799</c:v>
                </c:pt>
                <c:pt idx="8">
                  <c:v>1.72739500052752</c:v>
                </c:pt>
                <c:pt idx="9">
                  <c:v>1.9502001970206899</c:v>
                </c:pt>
                <c:pt idx="10">
                  <c:v>2.1542644166111899</c:v>
                </c:pt>
                <c:pt idx="11">
                  <c:v>2.3436462883388902</c:v>
                </c:pt>
                <c:pt idx="12">
                  <c:v>2.5211217974943101</c:v>
                </c:pt>
                <c:pt idx="13">
                  <c:v>2.6886888767577899</c:v>
                </c:pt>
                <c:pt idx="14">
                  <c:v>2.8478422761653599</c:v>
                </c:pt>
                <c:pt idx="15">
                  <c:v>2.9997349116946501</c:v>
                </c:pt>
                <c:pt idx="16">
                  <c:v>3.1452782240156498</c:v>
                </c:pt>
                <c:pt idx="17">
                  <c:v>3.2852075604746802</c:v>
                </c:pt>
                <c:pt idx="18">
                  <c:v>3.4201264170832602</c:v>
                </c:pt>
                <c:pt idx="19">
                  <c:v>3.55053733896965</c:v>
                </c:pt>
                <c:pt idx="20">
                  <c:v>3.6768640900243001</c:v>
                </c:pt>
                <c:pt idx="21">
                  <c:v>3.7994679298897198</c:v>
                </c:pt>
                <c:pt idx="22">
                  <c:v>3.9186598065432601</c:v>
                </c:pt>
                <c:pt idx="23">
                  <c:v>4.0347096513846701</c:v>
                </c:pt>
                <c:pt idx="24">
                  <c:v>4.1478535764525999</c:v>
                </c:pt>
                <c:pt idx="25">
                  <c:v>4.2582995249889297</c:v>
                </c:pt>
                <c:pt idx="26">
                  <c:v>4.3662317631652696</c:v>
                </c:pt>
                <c:pt idx="27">
                  <c:v>4.6765049469897297</c:v>
                </c:pt>
                <c:pt idx="28">
                  <c:v>4.9691566552364597</c:v>
                </c:pt>
                <c:pt idx="29">
                  <c:v>5.84773290832677</c:v>
                </c:pt>
                <c:pt idx="30">
                  <c:v>6.6184664156297304</c:v>
                </c:pt>
                <c:pt idx="31">
                  <c:v>7.31339712500729</c:v>
                </c:pt>
                <c:pt idx="32">
                  <c:v>7.9512779462827803</c:v>
                </c:pt>
                <c:pt idx="33">
                  <c:v>8.5442077926280398</c:v>
                </c:pt>
                <c:pt idx="34">
                  <c:v>9.1005316675725894</c:v>
                </c:pt>
                <c:pt idx="35">
                  <c:v>9.6262934322457703</c:v>
                </c:pt>
                <c:pt idx="36">
                  <c:v>10.1260368917892</c:v>
                </c:pt>
                <c:pt idx="37">
                  <c:v>10.6032804315916</c:v>
                </c:pt>
                <c:pt idx="38">
                  <c:v>11.060814422088001</c:v>
                </c:pt>
                <c:pt idx="39">
                  <c:v>11.5008961341338</c:v>
                </c:pt>
                <c:pt idx="40">
                  <c:v>11.9253822871884</c:v>
                </c:pt>
                <c:pt idx="41">
                  <c:v>12.335822013855401</c:v>
                </c:pt>
                <c:pt idx="42">
                  <c:v>12.733523796141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4F-4DD8-819A-9352DE40A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936767"/>
        <c:axId val="31265335"/>
      </c:scatterChart>
      <c:valAx>
        <c:axId val="84936767"/>
        <c:scaling>
          <c:orientation val="minMax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lang="en-GB" sz="115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Time (min)</a:t>
                </a:r>
              </a:p>
            </c:rich>
          </c:tx>
          <c:layout>
            <c:manualLayout>
              <c:xMode val="edge"/>
              <c:yMode val="edge"/>
              <c:x val="0.49238184079601999"/>
              <c:y val="0.91422366992399595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150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31265335"/>
        <c:crosses val="autoZero"/>
        <c:crossBetween val="midCat"/>
      </c:valAx>
      <c:valAx>
        <c:axId val="31265335"/>
        <c:scaling>
          <c:orientation val="minMax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lang="en-GB" sz="115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Filtration volume (cc0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150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84936767"/>
        <c:crosses val="autoZero"/>
        <c:crossBetween val="midCat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legend>
      <c:legendPos val="r"/>
      <c:layout>
        <c:manualLayout>
          <c:xMode val="edge"/>
          <c:yMode val="edge"/>
          <c:x val="0.51679104477611904"/>
          <c:y val="0.69956568946797004"/>
          <c:w val="0.44426017102876397"/>
          <c:h val="8.7957432946031103E-2"/>
        </c:manualLayout>
      </c:layout>
      <c:overlay val="0"/>
      <c:spPr>
        <a:solidFill>
          <a:srgbClr val="FFFFFF"/>
        </a:solidFill>
        <a:ln w="0">
          <a:solidFill>
            <a:srgbClr val="000000"/>
          </a:solidFill>
        </a:ln>
      </c:spPr>
      <c:txPr>
        <a:bodyPr/>
        <a:lstStyle/>
        <a:p>
          <a:pPr>
            <a:defRPr sz="1200" b="1" u="none" strike="noStrike">
              <a:solidFill>
                <a:srgbClr val="000000"/>
              </a:solidFill>
              <a:uFillTx/>
              <a:latin typeface="Times New Roman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0">
              <a:solidFill>
                <a:srgbClr val="FFFF00"/>
              </a:solidFill>
            </a:ln>
          </c:spPr>
          <c:marker>
            <c:symbol val="triangle"/>
            <c:size val="3"/>
            <c:spPr>
              <a:solidFill>
                <a:srgbClr val="FFFF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'Oil-Based Mud 3'!$AK$4:$AK$51</c:f>
              <c:numCache>
                <c:formatCode>General</c:formatCode>
                <c:ptCount val="48"/>
                <c:pt idx="0" formatCode="0.0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35</c:v>
                </c:pt>
                <c:pt idx="7">
                  <c:v>45</c:v>
                </c:pt>
                <c:pt idx="8">
                  <c:v>55</c:v>
                </c:pt>
                <c:pt idx="9">
                  <c:v>65</c:v>
                </c:pt>
                <c:pt idx="10">
                  <c:v>75</c:v>
                </c:pt>
                <c:pt idx="11">
                  <c:v>85</c:v>
                </c:pt>
                <c:pt idx="12">
                  <c:v>95</c:v>
                </c:pt>
                <c:pt idx="13">
                  <c:v>105</c:v>
                </c:pt>
                <c:pt idx="14">
                  <c:v>115</c:v>
                </c:pt>
                <c:pt idx="15">
                  <c:v>125</c:v>
                </c:pt>
                <c:pt idx="16">
                  <c:v>135</c:v>
                </c:pt>
                <c:pt idx="17">
                  <c:v>145</c:v>
                </c:pt>
                <c:pt idx="18">
                  <c:v>155</c:v>
                </c:pt>
                <c:pt idx="19">
                  <c:v>165</c:v>
                </c:pt>
                <c:pt idx="20">
                  <c:v>175</c:v>
                </c:pt>
                <c:pt idx="21">
                  <c:v>185</c:v>
                </c:pt>
                <c:pt idx="22">
                  <c:v>195</c:v>
                </c:pt>
                <c:pt idx="23">
                  <c:v>205</c:v>
                </c:pt>
                <c:pt idx="24">
                  <c:v>215</c:v>
                </c:pt>
                <c:pt idx="25">
                  <c:v>225</c:v>
                </c:pt>
                <c:pt idx="26">
                  <c:v>255</c:v>
                </c:pt>
                <c:pt idx="27">
                  <c:v>285</c:v>
                </c:pt>
                <c:pt idx="28">
                  <c:v>385</c:v>
                </c:pt>
                <c:pt idx="29">
                  <c:v>485</c:v>
                </c:pt>
                <c:pt idx="30">
                  <c:v>585</c:v>
                </c:pt>
                <c:pt idx="31">
                  <c:v>685</c:v>
                </c:pt>
                <c:pt idx="32">
                  <c:v>785</c:v>
                </c:pt>
                <c:pt idx="33">
                  <c:v>885</c:v>
                </c:pt>
                <c:pt idx="34">
                  <c:v>985</c:v>
                </c:pt>
                <c:pt idx="35">
                  <c:v>1085</c:v>
                </c:pt>
                <c:pt idx="36">
                  <c:v>1185</c:v>
                </c:pt>
                <c:pt idx="37">
                  <c:v>1285</c:v>
                </c:pt>
                <c:pt idx="38">
                  <c:v>1385</c:v>
                </c:pt>
                <c:pt idx="39">
                  <c:v>1485</c:v>
                </c:pt>
                <c:pt idx="40">
                  <c:v>1585</c:v>
                </c:pt>
                <c:pt idx="41">
                  <c:v>1685</c:v>
                </c:pt>
                <c:pt idx="42">
                  <c:v>1785</c:v>
                </c:pt>
                <c:pt idx="43">
                  <c:v>1885</c:v>
                </c:pt>
                <c:pt idx="44">
                  <c:v>1985</c:v>
                </c:pt>
                <c:pt idx="45">
                  <c:v>2085</c:v>
                </c:pt>
                <c:pt idx="46">
                  <c:v>2585</c:v>
                </c:pt>
                <c:pt idx="47">
                  <c:v>3085</c:v>
                </c:pt>
              </c:numCache>
            </c:numRef>
          </c:xVal>
          <c:yVal>
            <c:numRef>
              <c:f>'Oil-Based Mud 3'!$AS$4:$AS$51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DE-446C-BFDB-920881E08C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942877"/>
        <c:axId val="36640202"/>
      </c:scatterChart>
      <c:valAx>
        <c:axId val="90942877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000" b="0" u="none" strike="noStrike">
                <a:solidFill>
                  <a:srgbClr val="000000"/>
                </a:solidFill>
                <a:uFillTx/>
                <a:latin typeface="Arial"/>
              </a:defRPr>
            </a:pPr>
            <a:endParaRPr lang="en-US"/>
          </a:p>
        </c:txPr>
        <c:crossAx val="36640202"/>
        <c:crosses val="autoZero"/>
        <c:crossBetween val="midCat"/>
      </c:valAx>
      <c:valAx>
        <c:axId val="36640202"/>
        <c:scaling>
          <c:orientation val="minMax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000" b="0" u="none" strike="noStrike">
                <a:solidFill>
                  <a:srgbClr val="000000"/>
                </a:solidFill>
                <a:uFillTx/>
                <a:latin typeface="Arial"/>
              </a:defRPr>
            </a:pPr>
            <a:endParaRPr lang="en-US"/>
          </a:p>
        </c:txPr>
        <c:crossAx val="90942877"/>
        <c:crosses val="autoZero"/>
        <c:crossBetween val="midCat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plotVisOnly val="1"/>
    <c:dispBlanksAs val="gap"/>
    <c:showDLblsOverMax val="1"/>
  </c:chart>
  <c:spPr>
    <a:solidFill>
      <a:srgbClr val="FFFFFF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9.95418575593503E-2"/>
          <c:y val="6.5475378529532099E-2"/>
          <c:w val="0.87741218936554199"/>
          <c:h val="0.758423134633747"/>
        </c:manualLayout>
      </c:layout>
      <c:scatterChart>
        <c:scatterStyle val="lineMarker"/>
        <c:varyColors val="0"/>
        <c:ser>
          <c:idx val="0"/>
          <c:order val="0"/>
          <c:spPr>
            <a:ln w="0">
              <a:solidFill>
                <a:srgbClr val="000080"/>
              </a:solidFill>
            </a:ln>
          </c:spPr>
          <c:marker>
            <c:symbol val="diamond"/>
            <c:size val="3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  <c:pt idx="7">
                  <c:v>35</c:v>
                </c:pt>
                <c:pt idx="8">
                  <c:v>45</c:v>
                </c:pt>
                <c:pt idx="9">
                  <c:v>55</c:v>
                </c:pt>
                <c:pt idx="10">
                  <c:v>65</c:v>
                </c:pt>
                <c:pt idx="11">
                  <c:v>75</c:v>
                </c:pt>
                <c:pt idx="12">
                  <c:v>85</c:v>
                </c:pt>
                <c:pt idx="13">
                  <c:v>95</c:v>
                </c:pt>
                <c:pt idx="14">
                  <c:v>105</c:v>
                </c:pt>
                <c:pt idx="15">
                  <c:v>115</c:v>
                </c:pt>
                <c:pt idx="16">
                  <c:v>125</c:v>
                </c:pt>
                <c:pt idx="17">
                  <c:v>135</c:v>
                </c:pt>
                <c:pt idx="18">
                  <c:v>145</c:v>
                </c:pt>
                <c:pt idx="19">
                  <c:v>155</c:v>
                </c:pt>
                <c:pt idx="20">
                  <c:v>165</c:v>
                </c:pt>
                <c:pt idx="21">
                  <c:v>175</c:v>
                </c:pt>
                <c:pt idx="22">
                  <c:v>185</c:v>
                </c:pt>
                <c:pt idx="23">
                  <c:v>195</c:v>
                </c:pt>
                <c:pt idx="24">
                  <c:v>205</c:v>
                </c:pt>
                <c:pt idx="25">
                  <c:v>215</c:v>
                </c:pt>
                <c:pt idx="26">
                  <c:v>225</c:v>
                </c:pt>
                <c:pt idx="27">
                  <c:v>255</c:v>
                </c:pt>
                <c:pt idx="28">
                  <c:v>285</c:v>
                </c:pt>
                <c:pt idx="29">
                  <c:v>385</c:v>
                </c:pt>
                <c:pt idx="30">
                  <c:v>485</c:v>
                </c:pt>
                <c:pt idx="31">
                  <c:v>585</c:v>
                </c:pt>
                <c:pt idx="32">
                  <c:v>685</c:v>
                </c:pt>
                <c:pt idx="33">
                  <c:v>785</c:v>
                </c:pt>
                <c:pt idx="34">
                  <c:v>885</c:v>
                </c:pt>
                <c:pt idx="35">
                  <c:v>985</c:v>
                </c:pt>
                <c:pt idx="36">
                  <c:v>1085</c:v>
                </c:pt>
                <c:pt idx="37">
                  <c:v>1185</c:v>
                </c:pt>
                <c:pt idx="38">
                  <c:v>1285</c:v>
                </c:pt>
                <c:pt idx="39">
                  <c:v>1385</c:v>
                </c:pt>
                <c:pt idx="40">
                  <c:v>1485</c:v>
                </c:pt>
                <c:pt idx="41">
                  <c:v>1585</c:v>
                </c:pt>
                <c:pt idx="42">
                  <c:v>1685</c:v>
                </c:pt>
                <c:pt idx="43">
                  <c:v>1785</c:v>
                </c:pt>
                <c:pt idx="44">
                  <c:v>1885</c:v>
                </c:pt>
                <c:pt idx="45">
                  <c:v>1985</c:v>
                </c:pt>
                <c:pt idx="46">
                  <c:v>2085</c:v>
                </c:pt>
                <c:pt idx="47">
                  <c:v>2585</c:v>
                </c:pt>
                <c:pt idx="48">
                  <c:v>2785</c:v>
                </c:pt>
                <c:pt idx="49">
                  <c:v>2985</c:v>
                </c:pt>
                <c:pt idx="50">
                  <c:v>3185</c:v>
                </c:pt>
                <c:pt idx="51">
                  <c:v>3385</c:v>
                </c:pt>
                <c:pt idx="52">
                  <c:v>3585</c:v>
                </c:pt>
                <c:pt idx="53">
                  <c:v>3420</c:v>
                </c:pt>
                <c:pt idx="54">
                  <c:v>3420</c:v>
                </c:pt>
                <c:pt idx="55">
                  <c:v>3420</c:v>
                </c:pt>
              </c:numCache>
            </c:numRef>
          </c:xVal>
          <c:yVal>
            <c:numRef>
              <c:f>1</c:f>
              <c:numCache>
                <c:formatCode>General</c:formatCode>
                <c:ptCount val="56"/>
                <c:pt idx="0">
                  <c:v>0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1</c15:sqref>
                        </c15:formulaRef>
                      </c:ext>
                    </c:extLst>
                    <c:strCache>
                      <c:ptCount val="1"/>
                      <c:pt idx="0">
                        <c:v>Column CB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AF27-4078-A77C-F0DEF96C98B9}"/>
            </c:ext>
          </c:extLst>
        </c:ser>
        <c:ser>
          <c:idx val="1"/>
          <c:order val="1"/>
          <c:spPr>
            <a:ln w="0">
              <a:solidFill>
                <a:srgbClr val="FF00FF"/>
              </a:solidFill>
            </a:ln>
          </c:spPr>
          <c:marker>
            <c:symbol val="square"/>
            <c:size val="3"/>
            <c:spPr>
              <a:solidFill>
                <a:srgbClr val="FF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2</c:f>
              <c:numCache>
                <c:formatCode>General</c:formatCode>
                <c:ptCount val="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  <c:pt idx="7">
                  <c:v>35</c:v>
                </c:pt>
                <c:pt idx="8">
                  <c:v>45</c:v>
                </c:pt>
                <c:pt idx="9">
                  <c:v>55</c:v>
                </c:pt>
                <c:pt idx="10">
                  <c:v>65</c:v>
                </c:pt>
                <c:pt idx="11">
                  <c:v>75</c:v>
                </c:pt>
                <c:pt idx="12">
                  <c:v>85</c:v>
                </c:pt>
                <c:pt idx="13">
                  <c:v>95</c:v>
                </c:pt>
                <c:pt idx="14">
                  <c:v>105</c:v>
                </c:pt>
                <c:pt idx="15">
                  <c:v>115</c:v>
                </c:pt>
                <c:pt idx="16">
                  <c:v>125</c:v>
                </c:pt>
                <c:pt idx="17">
                  <c:v>135</c:v>
                </c:pt>
                <c:pt idx="18">
                  <c:v>145</c:v>
                </c:pt>
                <c:pt idx="19">
                  <c:v>155</c:v>
                </c:pt>
                <c:pt idx="20">
                  <c:v>165</c:v>
                </c:pt>
                <c:pt idx="21">
                  <c:v>175</c:v>
                </c:pt>
                <c:pt idx="22">
                  <c:v>185</c:v>
                </c:pt>
                <c:pt idx="23">
                  <c:v>195</c:v>
                </c:pt>
                <c:pt idx="24">
                  <c:v>205</c:v>
                </c:pt>
                <c:pt idx="25">
                  <c:v>215</c:v>
                </c:pt>
                <c:pt idx="26">
                  <c:v>225</c:v>
                </c:pt>
                <c:pt idx="27">
                  <c:v>255</c:v>
                </c:pt>
                <c:pt idx="28">
                  <c:v>285</c:v>
                </c:pt>
                <c:pt idx="29">
                  <c:v>385</c:v>
                </c:pt>
                <c:pt idx="30">
                  <c:v>485</c:v>
                </c:pt>
                <c:pt idx="31">
                  <c:v>585</c:v>
                </c:pt>
                <c:pt idx="32">
                  <c:v>685</c:v>
                </c:pt>
                <c:pt idx="33">
                  <c:v>785</c:v>
                </c:pt>
                <c:pt idx="34">
                  <c:v>885</c:v>
                </c:pt>
                <c:pt idx="35">
                  <c:v>985</c:v>
                </c:pt>
                <c:pt idx="36">
                  <c:v>1085</c:v>
                </c:pt>
                <c:pt idx="37">
                  <c:v>1185</c:v>
                </c:pt>
                <c:pt idx="38">
                  <c:v>1285</c:v>
                </c:pt>
                <c:pt idx="39">
                  <c:v>1385</c:v>
                </c:pt>
                <c:pt idx="40">
                  <c:v>1485</c:v>
                </c:pt>
                <c:pt idx="41">
                  <c:v>1585</c:v>
                </c:pt>
                <c:pt idx="42">
                  <c:v>1685</c:v>
                </c:pt>
              </c:numCache>
            </c:numRef>
          </c:xVal>
          <c:yVal>
            <c:numRef>
              <c:f>3</c:f>
              <c:numCache>
                <c:formatCode>General</c:formatCode>
                <c:ptCount val="56"/>
                <c:pt idx="0">
                  <c:v>0</c:v>
                </c:pt>
                <c:pt idx="1">
                  <c:v>0.119069863238148</c:v>
                </c:pt>
                <c:pt idx="2">
                  <c:v>0.21346756435067901</c:v>
                </c:pt>
                <c:pt idx="3">
                  <c:v>0.43086500840110098</c:v>
                </c:pt>
                <c:pt idx="4">
                  <c:v>0.69719515061272397</c:v>
                </c:pt>
                <c:pt idx="5">
                  <c:v>1.0887580040261899</c:v>
                </c:pt>
                <c:pt idx="6">
                  <c:v>1.3944861390128001</c:v>
                </c:pt>
                <c:pt idx="7">
                  <c:v>1.5287741579615399</c:v>
                </c:pt>
                <c:pt idx="8">
                  <c:v>1.7719929927350999</c:v>
                </c:pt>
                <c:pt idx="9">
                  <c:v>1.99005505954413</c:v>
                </c:pt>
                <c:pt idx="10">
                  <c:v>2.18945224319621</c:v>
                </c:pt>
                <c:pt idx="11">
                  <c:v>2.3742877683769801</c:v>
                </c:pt>
                <c:pt idx="12">
                  <c:v>2.5473509654295099</c:v>
                </c:pt>
                <c:pt idx="13">
                  <c:v>2.71064023674171</c:v>
                </c:pt>
                <c:pt idx="14">
                  <c:v>2.8656454150476298</c:v>
                </c:pt>
                <c:pt idx="15">
                  <c:v>3.01351239203948</c:v>
                </c:pt>
                <c:pt idx="16">
                  <c:v>3.1551449740198101</c:v>
                </c:pt>
                <c:pt idx="17">
                  <c:v>3.2912709539854901</c:v>
                </c:pt>
                <c:pt idx="18">
                  <c:v>3.4224866616785601</c:v>
                </c:pt>
                <c:pt idx="19">
                  <c:v>3.5492879861250701</c:v>
                </c:pt>
                <c:pt idx="20">
                  <c:v>3.6720925760360701</c:v>
                </c:pt>
                <c:pt idx="21">
                  <c:v>3.79125610341625</c:v>
                </c:pt>
                <c:pt idx="22">
                  <c:v>3.9070844226609198</c:v>
                </c:pt>
                <c:pt idx="23">
                  <c:v>4.0198428243930104</c:v>
                </c:pt>
                <c:pt idx="24">
                  <c:v>4.1297631899523202</c:v>
                </c:pt>
                <c:pt idx="25">
                  <c:v>4.2370496008576799</c:v>
                </c:pt>
                <c:pt idx="26">
                  <c:v>4.3418827924665999</c:v>
                </c:pt>
                <c:pt idx="27">
                  <c:v>4.6431907386544902</c:v>
                </c:pt>
                <c:pt idx="28">
                  <c:v>4.9273197189333002</c:v>
                </c:pt>
                <c:pt idx="29">
                  <c:v>5.7800121872259398</c:v>
                </c:pt>
                <c:pt idx="30">
                  <c:v>6.5277722691602298</c:v>
                </c:pt>
                <c:pt idx="31">
                  <c:v>7.2018396420294302</c:v>
                </c:pt>
                <c:pt idx="32">
                  <c:v>7.8204763424713697</c:v>
                </c:pt>
                <c:pt idx="33">
                  <c:v>8.3954550377094002</c:v>
                </c:pt>
                <c:pt idx="34">
                  <c:v>8.9348910232078005</c:v>
                </c:pt>
                <c:pt idx="35">
                  <c:v>9.4446592495249106</c:v>
                </c:pt>
                <c:pt idx="36">
                  <c:v>9.92917504419386</c:v>
                </c:pt>
                <c:pt idx="37">
                  <c:v>10.3918563845478</c:v>
                </c:pt>
                <c:pt idx="38">
                  <c:v>10.835413408013499</c:v>
                </c:pt>
                <c:pt idx="39">
                  <c:v>11.2620380748822</c:v>
                </c:pt>
                <c:pt idx="40">
                  <c:v>11.673533100201601</c:v>
                </c:pt>
                <c:pt idx="41">
                  <c:v>12.0714023557302</c:v>
                </c:pt>
                <c:pt idx="42">
                  <c:v>12.437916315226801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3</c15:sqref>
                        </c15:formulaRef>
                      </c:ext>
                    </c:extLst>
                    <c:strCache>
                      <c:ptCount val="1"/>
                      <c:pt idx="0">
                        <c:v>Column BZ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AF27-4078-A77C-F0DEF96C98B9}"/>
            </c:ext>
          </c:extLst>
        </c:ser>
        <c:ser>
          <c:idx val="2"/>
          <c:order val="2"/>
          <c:spPr>
            <a:ln w="0">
              <a:solidFill>
                <a:srgbClr val="FFFF00"/>
              </a:solidFill>
            </a:ln>
          </c:spPr>
          <c:marker>
            <c:symbol val="triangle"/>
            <c:size val="3"/>
            <c:spPr>
              <a:solidFill>
                <a:srgbClr val="FFFF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4</c:f>
              <c:numCache>
                <c:formatCode>General</c:formatCode>
                <c:ptCount val="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  <c:pt idx="7">
                  <c:v>35</c:v>
                </c:pt>
                <c:pt idx="8">
                  <c:v>45</c:v>
                </c:pt>
                <c:pt idx="9">
                  <c:v>55</c:v>
                </c:pt>
                <c:pt idx="10">
                  <c:v>65</c:v>
                </c:pt>
                <c:pt idx="11">
                  <c:v>75</c:v>
                </c:pt>
                <c:pt idx="12">
                  <c:v>85</c:v>
                </c:pt>
                <c:pt idx="13">
                  <c:v>95</c:v>
                </c:pt>
                <c:pt idx="14">
                  <c:v>105</c:v>
                </c:pt>
                <c:pt idx="15">
                  <c:v>115</c:v>
                </c:pt>
                <c:pt idx="16">
                  <c:v>125</c:v>
                </c:pt>
                <c:pt idx="17">
                  <c:v>135</c:v>
                </c:pt>
                <c:pt idx="18">
                  <c:v>145</c:v>
                </c:pt>
                <c:pt idx="19">
                  <c:v>155</c:v>
                </c:pt>
                <c:pt idx="20">
                  <c:v>165</c:v>
                </c:pt>
                <c:pt idx="21">
                  <c:v>175</c:v>
                </c:pt>
                <c:pt idx="22">
                  <c:v>185</c:v>
                </c:pt>
                <c:pt idx="23">
                  <c:v>195</c:v>
                </c:pt>
                <c:pt idx="24">
                  <c:v>205</c:v>
                </c:pt>
                <c:pt idx="25">
                  <c:v>215</c:v>
                </c:pt>
                <c:pt idx="26">
                  <c:v>225</c:v>
                </c:pt>
                <c:pt idx="27">
                  <c:v>255</c:v>
                </c:pt>
                <c:pt idx="28">
                  <c:v>285</c:v>
                </c:pt>
                <c:pt idx="29">
                  <c:v>385</c:v>
                </c:pt>
                <c:pt idx="30">
                  <c:v>485</c:v>
                </c:pt>
                <c:pt idx="31">
                  <c:v>585</c:v>
                </c:pt>
                <c:pt idx="32">
                  <c:v>685</c:v>
                </c:pt>
                <c:pt idx="33">
                  <c:v>785</c:v>
                </c:pt>
                <c:pt idx="34">
                  <c:v>885</c:v>
                </c:pt>
                <c:pt idx="35">
                  <c:v>985</c:v>
                </c:pt>
                <c:pt idx="36">
                  <c:v>1085</c:v>
                </c:pt>
                <c:pt idx="37">
                  <c:v>1185</c:v>
                </c:pt>
                <c:pt idx="38">
                  <c:v>1285</c:v>
                </c:pt>
                <c:pt idx="39">
                  <c:v>1385</c:v>
                </c:pt>
                <c:pt idx="40">
                  <c:v>1485</c:v>
                </c:pt>
                <c:pt idx="41">
                  <c:v>1585</c:v>
                </c:pt>
                <c:pt idx="42">
                  <c:v>1685</c:v>
                </c:pt>
                <c:pt idx="43">
                  <c:v>1785</c:v>
                </c:pt>
                <c:pt idx="44">
                  <c:v>1885</c:v>
                </c:pt>
                <c:pt idx="45">
                  <c:v>1985</c:v>
                </c:pt>
                <c:pt idx="46">
                  <c:v>2085</c:v>
                </c:pt>
                <c:pt idx="47">
                  <c:v>2585</c:v>
                </c:pt>
                <c:pt idx="48">
                  <c:v>3085</c:v>
                </c:pt>
                <c:pt idx="49">
                  <c:v>3585</c:v>
                </c:pt>
              </c:numCache>
            </c:numRef>
          </c:xVal>
          <c:yVal>
            <c:numRef>
              <c:f>5</c:f>
              <c:numCache>
                <c:formatCode>General</c:formatCode>
                <c:ptCount val="56"/>
                <c:pt idx="0">
                  <c:v>0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5</c15:sqref>
                        </c15:formulaRef>
                      </c:ext>
                    </c:extLst>
                    <c:strCache>
                      <c:ptCount val="1"/>
                      <c:pt idx="0">
                        <c:v>Column AL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AF27-4078-A77C-F0DEF96C98B9}"/>
            </c:ext>
          </c:extLst>
        </c:ser>
        <c:ser>
          <c:idx val="3"/>
          <c:order val="3"/>
          <c:spPr>
            <a:ln w="0">
              <a:noFill/>
            </a:ln>
          </c:spPr>
          <c:marker>
            <c:symbol val="x"/>
            <c:size val="5"/>
            <c:spPr>
              <a:solidFill>
                <a:srgbClr val="00FF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6</c:f>
              <c:numCache>
                <c:formatCode>General</c:formatCode>
                <c:ptCount val="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  <c:pt idx="7">
                  <c:v>35</c:v>
                </c:pt>
                <c:pt idx="8">
                  <c:v>45</c:v>
                </c:pt>
                <c:pt idx="9">
                  <c:v>55</c:v>
                </c:pt>
                <c:pt idx="10">
                  <c:v>65</c:v>
                </c:pt>
                <c:pt idx="11">
                  <c:v>75</c:v>
                </c:pt>
                <c:pt idx="12">
                  <c:v>85</c:v>
                </c:pt>
                <c:pt idx="13">
                  <c:v>95</c:v>
                </c:pt>
                <c:pt idx="14">
                  <c:v>105</c:v>
                </c:pt>
                <c:pt idx="15">
                  <c:v>115</c:v>
                </c:pt>
                <c:pt idx="16">
                  <c:v>125</c:v>
                </c:pt>
                <c:pt idx="17">
                  <c:v>135</c:v>
                </c:pt>
                <c:pt idx="18">
                  <c:v>145</c:v>
                </c:pt>
                <c:pt idx="19">
                  <c:v>155</c:v>
                </c:pt>
                <c:pt idx="20">
                  <c:v>165</c:v>
                </c:pt>
                <c:pt idx="21">
                  <c:v>175</c:v>
                </c:pt>
                <c:pt idx="22">
                  <c:v>185</c:v>
                </c:pt>
                <c:pt idx="23">
                  <c:v>195</c:v>
                </c:pt>
                <c:pt idx="24">
                  <c:v>205</c:v>
                </c:pt>
                <c:pt idx="25">
                  <c:v>215</c:v>
                </c:pt>
                <c:pt idx="26">
                  <c:v>225</c:v>
                </c:pt>
                <c:pt idx="27">
                  <c:v>255</c:v>
                </c:pt>
                <c:pt idx="28">
                  <c:v>285</c:v>
                </c:pt>
                <c:pt idx="29">
                  <c:v>385</c:v>
                </c:pt>
                <c:pt idx="30">
                  <c:v>485</c:v>
                </c:pt>
                <c:pt idx="31">
                  <c:v>585</c:v>
                </c:pt>
                <c:pt idx="32">
                  <c:v>685</c:v>
                </c:pt>
                <c:pt idx="33">
                  <c:v>785</c:v>
                </c:pt>
                <c:pt idx="34">
                  <c:v>885</c:v>
                </c:pt>
                <c:pt idx="35">
                  <c:v>985</c:v>
                </c:pt>
                <c:pt idx="36">
                  <c:v>1085</c:v>
                </c:pt>
                <c:pt idx="37">
                  <c:v>1185</c:v>
                </c:pt>
                <c:pt idx="38">
                  <c:v>1285</c:v>
                </c:pt>
                <c:pt idx="39">
                  <c:v>1385</c:v>
                </c:pt>
                <c:pt idx="40">
                  <c:v>1485</c:v>
                </c:pt>
                <c:pt idx="41">
                  <c:v>1585</c:v>
                </c:pt>
                <c:pt idx="42">
                  <c:v>1685</c:v>
                </c:pt>
              </c:numCache>
            </c:numRef>
          </c:xVal>
          <c:yVal>
            <c:numRef>
              <c:f>7</c:f>
              <c:numCache>
                <c:formatCode>General</c:formatCode>
                <c:ptCount val="56"/>
                <c:pt idx="0">
                  <c:v>0</c:v>
                </c:pt>
                <c:pt idx="1">
                  <c:v>9.7016097031992404E-2</c:v>
                </c:pt>
                <c:pt idx="2">
                  <c:v>0.18003133393410201</c:v>
                </c:pt>
                <c:pt idx="3">
                  <c:v>0.38267450096057598</c:v>
                </c:pt>
                <c:pt idx="4">
                  <c:v>0.64218571044560002</c:v>
                </c:pt>
                <c:pt idx="5">
                  <c:v>1.0335457969383099</c:v>
                </c:pt>
                <c:pt idx="6">
                  <c:v>1.34296371395599</c:v>
                </c:pt>
                <c:pt idx="7">
                  <c:v>1.4794832390102799</c:v>
                </c:pt>
                <c:pt idx="8">
                  <c:v>1.72739500052752</c:v>
                </c:pt>
                <c:pt idx="9">
                  <c:v>1.9502001970206899</c:v>
                </c:pt>
                <c:pt idx="10">
                  <c:v>2.1542644166111899</c:v>
                </c:pt>
                <c:pt idx="11">
                  <c:v>2.3436462883388902</c:v>
                </c:pt>
                <c:pt idx="12">
                  <c:v>2.5211217974943101</c:v>
                </c:pt>
                <c:pt idx="13">
                  <c:v>2.6886888767577899</c:v>
                </c:pt>
                <c:pt idx="14">
                  <c:v>2.8478422761653599</c:v>
                </c:pt>
                <c:pt idx="15">
                  <c:v>2.9997349116946501</c:v>
                </c:pt>
                <c:pt idx="16">
                  <c:v>3.1452782240156498</c:v>
                </c:pt>
                <c:pt idx="17">
                  <c:v>3.2852075604746802</c:v>
                </c:pt>
                <c:pt idx="18">
                  <c:v>3.4201264170832602</c:v>
                </c:pt>
                <c:pt idx="19">
                  <c:v>3.55053733896965</c:v>
                </c:pt>
                <c:pt idx="20">
                  <c:v>3.6768640900243001</c:v>
                </c:pt>
                <c:pt idx="21">
                  <c:v>3.7994679298897198</c:v>
                </c:pt>
                <c:pt idx="22">
                  <c:v>3.9186598065432601</c:v>
                </c:pt>
                <c:pt idx="23">
                  <c:v>4.0347096513846701</c:v>
                </c:pt>
                <c:pt idx="24">
                  <c:v>4.1478535764525999</c:v>
                </c:pt>
                <c:pt idx="25">
                  <c:v>4.2582995249889297</c:v>
                </c:pt>
                <c:pt idx="26">
                  <c:v>4.3662317631652696</c:v>
                </c:pt>
                <c:pt idx="27">
                  <c:v>4.6765049469897297</c:v>
                </c:pt>
                <c:pt idx="28">
                  <c:v>4.9691566552364597</c:v>
                </c:pt>
                <c:pt idx="29">
                  <c:v>5.84773290832677</c:v>
                </c:pt>
                <c:pt idx="30">
                  <c:v>6.6184664156297304</c:v>
                </c:pt>
                <c:pt idx="31">
                  <c:v>7.31339712500729</c:v>
                </c:pt>
                <c:pt idx="32">
                  <c:v>7.9512779462827803</c:v>
                </c:pt>
                <c:pt idx="33">
                  <c:v>8.5442077926280398</c:v>
                </c:pt>
                <c:pt idx="34">
                  <c:v>9.1005316675725894</c:v>
                </c:pt>
                <c:pt idx="35">
                  <c:v>9.6262934322457703</c:v>
                </c:pt>
                <c:pt idx="36">
                  <c:v>10.1260368917892</c:v>
                </c:pt>
                <c:pt idx="37">
                  <c:v>10.6032804315916</c:v>
                </c:pt>
                <c:pt idx="38">
                  <c:v>11.060814422088001</c:v>
                </c:pt>
                <c:pt idx="39">
                  <c:v>11.5008961341338</c:v>
                </c:pt>
                <c:pt idx="40">
                  <c:v>11.9253822871884</c:v>
                </c:pt>
                <c:pt idx="41">
                  <c:v>12.335822013855401</c:v>
                </c:pt>
                <c:pt idx="42">
                  <c:v>12.733523796141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7</c15:sqref>
                        </c15:formulaRef>
                      </c:ext>
                    </c:extLst>
                    <c:strCache>
                      <c:ptCount val="1"/>
                      <c:pt idx="0">
                        <c:v>Column AJ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AF27-4078-A77C-F0DEF96C98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88314"/>
        <c:axId val="95404052"/>
      </c:scatterChart>
      <c:valAx>
        <c:axId val="14888314"/>
        <c:scaling>
          <c:orientation val="minMax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lang="en-GB" sz="825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Time (min)</a:t>
                </a:r>
              </a:p>
            </c:rich>
          </c:tx>
          <c:layout>
            <c:manualLayout>
              <c:xMode val="edge"/>
              <c:yMode val="edge"/>
              <c:x val="0.46897126197417699"/>
              <c:y val="0.90656117855681395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25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95404052"/>
        <c:crosses val="autoZero"/>
        <c:crossBetween val="midCat"/>
      </c:valAx>
      <c:valAx>
        <c:axId val="95404052"/>
        <c:scaling>
          <c:orientation val="minMax"/>
          <c:max val="30"/>
          <c:min val="0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lang="en-GB" sz="825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Filtration Volume (cc)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25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14888314"/>
        <c:crosses val="autoZero"/>
        <c:crossBetween val="midCat"/>
        <c:majorUnit val="4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legend>
      <c:legendPos val="r"/>
      <c:layout>
        <c:manualLayout>
          <c:xMode val="edge"/>
          <c:yMode val="edge"/>
          <c:x val="0.109051783978898"/>
          <c:y val="1.8278543172827701E-2"/>
          <c:w val="0.372162443595974"/>
          <c:h val="0.26944065484311103"/>
        </c:manualLayout>
      </c:layout>
      <c:overlay val="0"/>
      <c:spPr>
        <a:solidFill>
          <a:srgbClr val="FFFFFF"/>
        </a:solidFill>
        <a:ln w="0">
          <a:solidFill>
            <a:srgbClr val="000000"/>
          </a:solidFill>
        </a:ln>
      </c:spPr>
      <c:txPr>
        <a:bodyPr/>
        <a:lstStyle/>
        <a:p>
          <a:pPr>
            <a:defRPr sz="1000" b="1" u="none" strike="noStrike">
              <a:solidFill>
                <a:srgbClr val="000000"/>
              </a:solidFill>
              <a:uFillTx/>
              <a:latin typeface="Times New Roman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8080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74531309781916"/>
          <c:y val="8.7484811664641601E-2"/>
          <c:w val="0.77681418186455797"/>
          <c:h val="0.74034021871202904"/>
        </c:manualLayout>
      </c:layout>
      <c:scatterChart>
        <c:scatterStyle val="lineMarker"/>
        <c:varyColors val="0"/>
        <c:ser>
          <c:idx val="0"/>
          <c:order val="0"/>
          <c:spPr>
            <a:ln w="0">
              <a:solidFill>
                <a:srgbClr val="000080"/>
              </a:solidFill>
            </a:ln>
          </c:spPr>
          <c:marker>
            <c:symbol val="diamond"/>
            <c:size val="3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6"/>
                <c:pt idx="0">
                  <c:v>1021.92</c:v>
                </c:pt>
                <c:pt idx="1">
                  <c:v>510.96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1</c:f>
              <c:numCache>
                <c:formatCode>General</c:formatCode>
                <c:ptCount val="6"/>
                <c:pt idx="0">
                  <c:v>113.391213285413</c:v>
                </c:pt>
                <c:pt idx="1">
                  <c:v>71.109743924750802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1</c15:sqref>
                        </c15:formulaRef>
                      </c:ext>
                    </c:extLst>
                    <c:strCache>
                      <c:ptCount val="1"/>
                      <c:pt idx="0">
                        <c:v>Actual data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EB73-40A4-8526-EE1E46A1A7DC}"/>
            </c:ext>
          </c:extLst>
        </c:ser>
        <c:ser>
          <c:idx val="1"/>
          <c:order val="1"/>
          <c:spPr>
            <a:ln w="0">
              <a:solidFill>
                <a:srgbClr val="FF00FF"/>
              </a:solidFill>
            </a:ln>
          </c:spPr>
          <c:marker>
            <c:symbol val="square"/>
            <c:size val="3"/>
            <c:spPr>
              <a:solidFill>
                <a:srgbClr val="FF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6"/>
                <c:pt idx="0">
                  <c:v>1021.92</c:v>
                </c:pt>
                <c:pt idx="1">
                  <c:v>510.96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6"/>
                <c:pt idx="0">
                  <c:v>75.804317335743804</c:v>
                </c:pt>
                <c:pt idx="1">
                  <c:v>71.109743924750802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2</c15:sqref>
                        </c15:formulaRef>
                      </c:ext>
                    </c:extLst>
                    <c:strCache>
                      <c:ptCount val="1"/>
                      <c:pt idx="0">
                        <c:v>Herschel-Bulkley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EB73-40A4-8526-EE1E46A1A7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44371"/>
        <c:axId val="18169829"/>
      </c:scatterChart>
      <c:valAx>
        <c:axId val="66044371"/>
        <c:scaling>
          <c:orientation val="minMax"/>
          <c:min val="510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lang="en-GB" sz="120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Shear rate (1/sec)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200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18169829"/>
        <c:crosses val="autoZero"/>
        <c:crossBetween val="midCat"/>
      </c:valAx>
      <c:valAx>
        <c:axId val="18169829"/>
        <c:scaling>
          <c:orientation val="minMax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lang="en-GB" sz="120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Shear stress (dyne/cm^2)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200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66044371"/>
        <c:crosses val="autoZero"/>
        <c:crossBetween val="midCat"/>
      </c:valAx>
      <c:spPr>
        <a:blipFill rotWithShape="0">
          <a:blip xmlns:r="http://schemas.openxmlformats.org/officeDocument/2006/relationships" r:embed="rId1"/>
          <a:tile tx="0" ty="0" sx="100000" sy="100000" algn="ctr"/>
        </a:blipFill>
        <a:ln w="12600">
          <a:solidFill>
            <a:srgbClr val="808080"/>
          </a:solidFill>
          <a:round/>
        </a:ln>
      </c:spPr>
    </c:plotArea>
    <c:legend>
      <c:legendPos val="r"/>
      <c:layout>
        <c:manualLayout>
          <c:xMode val="edge"/>
          <c:yMode val="edge"/>
          <c:x val="0.24563193470220601"/>
          <c:y val="6.4155528554070501E-2"/>
          <c:w val="0.46113130540144098"/>
          <c:h val="8.5672621217644906E-2"/>
        </c:manualLayout>
      </c:layout>
      <c:overlay val="0"/>
      <c:spPr>
        <a:solidFill>
          <a:srgbClr val="FFFFFF"/>
        </a:solidFill>
        <a:ln w="0">
          <a:solidFill>
            <a:srgbClr val="000000"/>
          </a:solidFill>
        </a:ln>
      </c:spPr>
      <c:txPr>
        <a:bodyPr/>
        <a:lstStyle/>
        <a:p>
          <a:pPr>
            <a:defRPr sz="1100" b="1" u="none" strike="noStrike">
              <a:solidFill>
                <a:srgbClr val="000000"/>
              </a:solidFill>
              <a:uFillTx/>
              <a:latin typeface="Times New Roman"/>
            </a:defRPr>
          </a:pPr>
          <a:endParaRPr lang="en-US"/>
        </a:p>
      </c:txPr>
    </c:legend>
    <c:plotVisOnly val="1"/>
    <c:dispBlanksAs val="gap"/>
    <c:showDLblsOverMax val="1"/>
  </c:chart>
  <c:spPr>
    <a:blipFill rotWithShape="0">
      <a:blip xmlns:r="http://schemas.openxmlformats.org/officeDocument/2006/relationships" r:embed="rId2"/>
      <a:tile tx="0" ty="0" sx="100000" sy="100000" algn="ctr"/>
    </a:blip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3479725353024999"/>
          <c:y val="8.4847007192490595E-2"/>
          <c:w val="0.84110636092758095"/>
          <c:h val="0.76216018529806195"/>
        </c:manualLayout>
      </c:layout>
      <c:scatterChart>
        <c:scatterStyle val="lineMarker"/>
        <c:varyColors val="0"/>
        <c:ser>
          <c:idx val="0"/>
          <c:order val="0"/>
          <c:spPr>
            <a:ln w="0">
              <a:solidFill>
                <a:srgbClr val="000080"/>
              </a:solidFill>
            </a:ln>
          </c:spPr>
          <c:marker>
            <c:symbol val="diamond"/>
            <c:size val="3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6"/>
                <c:pt idx="0">
                  <c:v>1021.92</c:v>
                </c:pt>
                <c:pt idx="1">
                  <c:v>510.96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1</c:f>
              <c:numCache>
                <c:formatCode>General</c:formatCode>
                <c:ptCount val="6"/>
                <c:pt idx="0">
                  <c:v>113.391213285413</c:v>
                </c:pt>
                <c:pt idx="1">
                  <c:v>71.109743924750802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1</c15:sqref>
                        </c15:formulaRef>
                      </c:ext>
                    </c:extLst>
                    <c:strCache>
                      <c:ptCount val="1"/>
                      <c:pt idx="0">
                        <c:v>Actual data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8F82-475F-99F6-9E59F209CD46}"/>
            </c:ext>
          </c:extLst>
        </c:ser>
        <c:ser>
          <c:idx val="1"/>
          <c:order val="1"/>
          <c:spPr>
            <a:ln w="0">
              <a:solidFill>
                <a:srgbClr val="FF00FF"/>
              </a:solidFill>
            </a:ln>
          </c:spPr>
          <c:marker>
            <c:symbol val="square"/>
            <c:size val="3"/>
            <c:spPr>
              <a:solidFill>
                <a:srgbClr val="FF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6"/>
                <c:pt idx="0">
                  <c:v>1021.92</c:v>
                </c:pt>
                <c:pt idx="1">
                  <c:v>510.96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6"/>
                <c:pt idx="0">
                  <c:v>119.03345028235201</c:v>
                </c:pt>
                <c:pt idx="1">
                  <c:v>73.930862423220105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2</c15:sqref>
                        </c15:formulaRef>
                      </c:ext>
                    </c:extLst>
                    <c:strCache>
                      <c:ptCount val="1"/>
                      <c:pt idx="0">
                        <c:v>Bingham Plastic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8F82-475F-99F6-9E59F209C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288213"/>
        <c:axId val="12997865"/>
      </c:scatterChart>
      <c:valAx>
        <c:axId val="48288213"/>
        <c:scaling>
          <c:orientation val="minMax"/>
          <c:min val="510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lang="en-GB" sz="1025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Shear rate (1/sec)</a:t>
                </a:r>
              </a:p>
            </c:rich>
          </c:tx>
          <c:layout>
            <c:manualLayout>
              <c:xMode val="edge"/>
              <c:yMode val="edge"/>
              <c:x val="0.45711879777173198"/>
              <c:y val="0.90698524929903701"/>
            </c:manualLayout>
          </c:layout>
          <c:overlay val="0"/>
          <c:spPr>
            <a:noFill/>
            <a:ln w="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025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12997865"/>
        <c:crosses val="autoZero"/>
        <c:crossBetween val="midCat"/>
      </c:valAx>
      <c:valAx>
        <c:axId val="12997865"/>
        <c:scaling>
          <c:orientation val="minMax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lang="en-GB" sz="1025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Shear stress (dyne/cm^2)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025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48288213"/>
        <c:crosses val="autoZero"/>
        <c:crossBetween val="midCat"/>
        <c:majorUnit val="50"/>
      </c:valAx>
      <c:spPr>
        <a:gradFill>
          <a:gsLst>
            <a:gs pos="0">
              <a:srgbClr val="C0C0C0"/>
            </a:gs>
            <a:gs pos="100000">
              <a:srgbClr val="FFFFCC"/>
            </a:gs>
          </a:gsLst>
          <a:lin ang="5400000"/>
        </a:gradFill>
        <a:ln w="12600">
          <a:solidFill>
            <a:srgbClr val="808080"/>
          </a:solidFill>
          <a:round/>
        </a:ln>
      </c:spPr>
    </c:plotArea>
    <c:legend>
      <c:legendPos val="r"/>
      <c:layout>
        <c:manualLayout>
          <c:xMode val="edge"/>
          <c:yMode val="edge"/>
          <c:x val="0.28034719523254298"/>
          <c:y val="1.73107399731805E-2"/>
          <c:w val="0.50268834618125302"/>
          <c:h val="6.8641794684223406E-2"/>
        </c:manualLayout>
      </c:layout>
      <c:overlay val="0"/>
      <c:spPr>
        <a:solidFill>
          <a:srgbClr val="FFFFFF"/>
        </a:solidFill>
        <a:ln w="0">
          <a:solidFill>
            <a:srgbClr val="000000"/>
          </a:solidFill>
        </a:ln>
      </c:spPr>
      <c:txPr>
        <a:bodyPr/>
        <a:lstStyle/>
        <a:p>
          <a:pPr>
            <a:defRPr sz="1200" b="1" u="none" strike="noStrike">
              <a:solidFill>
                <a:srgbClr val="000000"/>
              </a:solidFill>
              <a:uFillTx/>
              <a:latin typeface="Times New Roman"/>
            </a:defRPr>
          </a:pPr>
          <a:endParaRPr lang="en-US"/>
        </a:p>
      </c:txPr>
    </c:legend>
    <c:plotVisOnly val="1"/>
    <c:dispBlanksAs val="gap"/>
    <c:showDLblsOverMax val="1"/>
  </c:chart>
  <c:spPr>
    <a:blipFill rotWithShape="0">
      <a:blip xmlns:r="http://schemas.openxmlformats.org/officeDocument/2006/relationships" r:embed="rId1"/>
      <a:tile tx="0" ty="0" sx="100000" sy="100000" algn="ctr"/>
    </a:blip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4755797383080699"/>
          <c:y val="7.4302091073134499E-2"/>
          <c:w val="0.78708381914755798"/>
          <c:h val="0.76329476700987198"/>
        </c:manualLayout>
      </c:layout>
      <c:scatterChart>
        <c:scatterStyle val="lineMarker"/>
        <c:varyColors val="0"/>
        <c:ser>
          <c:idx val="0"/>
          <c:order val="0"/>
          <c:spPr>
            <a:ln w="0">
              <a:solidFill>
                <a:srgbClr val="000080"/>
              </a:solidFill>
            </a:ln>
          </c:spPr>
          <c:marker>
            <c:symbol val="diamond"/>
            <c:size val="3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6"/>
                <c:pt idx="0">
                  <c:v>1021.92</c:v>
                </c:pt>
                <c:pt idx="1">
                  <c:v>510.96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1</c:f>
              <c:numCache>
                <c:formatCode>General</c:formatCode>
                <c:ptCount val="6"/>
                <c:pt idx="0">
                  <c:v>113.391213285413</c:v>
                </c:pt>
                <c:pt idx="1">
                  <c:v>71.109743924750802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1</c15:sqref>
                        </c15:formulaRef>
                      </c:ext>
                    </c:extLst>
                    <c:strCache>
                      <c:ptCount val="1"/>
                      <c:pt idx="0">
                        <c:v>Actual data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3F0B-405F-9197-8F62A058BFA2}"/>
            </c:ext>
          </c:extLst>
        </c:ser>
        <c:ser>
          <c:idx val="1"/>
          <c:order val="1"/>
          <c:spPr>
            <a:ln w="0">
              <a:solidFill>
                <a:srgbClr val="FF00FF"/>
              </a:solidFill>
            </a:ln>
          </c:spPr>
          <c:marker>
            <c:symbol val="square"/>
            <c:size val="3"/>
            <c:spPr>
              <a:solidFill>
                <a:srgbClr val="FF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6"/>
                <c:pt idx="0">
                  <c:v>1021.92</c:v>
                </c:pt>
                <c:pt idx="1">
                  <c:v>510.96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6"/>
                <c:pt idx="0">
                  <c:v>76.283572259143796</c:v>
                </c:pt>
                <c:pt idx="1">
                  <c:v>71.109743924750802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2</c15:sqref>
                        </c15:formulaRef>
                      </c:ext>
                    </c:extLst>
                    <c:strCache>
                      <c:ptCount val="1"/>
                      <c:pt idx="0">
                        <c:v>Power Law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3F0B-405F-9197-8F62A058BF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417350"/>
        <c:axId val="88785342"/>
      </c:scatterChart>
      <c:valAx>
        <c:axId val="75417350"/>
        <c:scaling>
          <c:orientation val="minMax"/>
          <c:min val="510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lang="en-GB" sz="1075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Shear rate (1/sec)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075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88785342"/>
        <c:crosses val="autoZero"/>
        <c:crossBetween val="midCat"/>
      </c:valAx>
      <c:valAx>
        <c:axId val="88785342"/>
        <c:scaling>
          <c:orientation val="minMax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lang="en-GB" sz="1075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Shear stress (dyne/cm^2)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075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75417350"/>
        <c:crosses val="autoZero"/>
        <c:crossBetween val="midCat"/>
      </c:valAx>
      <c:spPr>
        <a:gradFill>
          <a:gsLst>
            <a:gs pos="0">
              <a:srgbClr val="C0C0C0"/>
            </a:gs>
            <a:gs pos="100000">
              <a:srgbClr val="FFFF99"/>
            </a:gs>
          </a:gsLst>
          <a:lin ang="5400000"/>
        </a:gradFill>
        <a:ln w="12600">
          <a:solidFill>
            <a:srgbClr val="808080"/>
          </a:solidFill>
          <a:round/>
        </a:ln>
      </c:spPr>
    </c:plotArea>
    <c:legend>
      <c:legendPos val="r"/>
      <c:layout>
        <c:manualLayout>
          <c:xMode val="edge"/>
          <c:yMode val="edge"/>
          <c:x val="0.24148205726130301"/>
          <c:y val="1.21006262604819E-2"/>
          <c:w val="0.50728768543110703"/>
          <c:h val="6.7303609341825901E-2"/>
        </c:manualLayout>
      </c:layout>
      <c:overlay val="0"/>
      <c:spPr>
        <a:solidFill>
          <a:srgbClr val="FFFFFF"/>
        </a:solidFill>
        <a:ln w="0">
          <a:solidFill>
            <a:srgbClr val="000000"/>
          </a:solidFill>
        </a:ln>
      </c:spPr>
      <c:txPr>
        <a:bodyPr/>
        <a:lstStyle/>
        <a:p>
          <a:pPr>
            <a:defRPr sz="1075" b="1" u="none" strike="noStrike">
              <a:solidFill>
                <a:srgbClr val="000000"/>
              </a:solidFill>
              <a:uFillTx/>
              <a:latin typeface="Times New Roman"/>
            </a:defRPr>
          </a:pPr>
          <a:endParaRPr lang="en-US"/>
        </a:p>
      </c:txPr>
    </c:legend>
    <c:plotVisOnly val="1"/>
    <c:dispBlanksAs val="gap"/>
    <c:showDLblsOverMax val="1"/>
  </c:chart>
  <c:spPr>
    <a:blipFill rotWithShape="0">
      <a:blip xmlns:r="http://schemas.openxmlformats.org/officeDocument/2006/relationships" r:embed="rId1"/>
      <a:tile tx="0" ty="0" sx="100000" sy="100000" algn="ctr"/>
    </a:blip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28809585829643"/>
          <c:y val="3.6353651839648497E-2"/>
          <c:w val="0.84872362594425599"/>
          <c:h val="0.83723228995057697"/>
        </c:manualLayout>
      </c:layout>
      <c:scatterChart>
        <c:scatterStyle val="lineMarker"/>
        <c:varyColors val="0"/>
        <c:ser>
          <c:idx val="0"/>
          <c:order val="0"/>
          <c:spPr>
            <a:ln w="0">
              <a:solidFill>
                <a:srgbClr val="FF00FF"/>
              </a:solidFill>
            </a:ln>
          </c:spPr>
          <c:marker>
            <c:symbol val="square"/>
            <c:size val="3"/>
            <c:spPr>
              <a:solidFill>
                <a:srgbClr val="FF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6"/>
                <c:pt idx="0">
                  <c:v>1021.92</c:v>
                </c:pt>
                <c:pt idx="1">
                  <c:v>510.96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1</c:f>
              <c:numCache>
                <c:formatCode>General</c:formatCode>
                <c:ptCount val="6"/>
                <c:pt idx="0">
                  <c:v>113.391213285413</c:v>
                </c:pt>
                <c:pt idx="1">
                  <c:v>71.109743924750802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1</c15:sqref>
                        </c15:formulaRef>
                      </c:ext>
                    </c:extLst>
                    <c:strCache>
                      <c:ptCount val="1"/>
                      <c:pt idx="0">
                        <c:v>Actual data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1AB3-4A5B-8A37-16B9A7F2BDD6}"/>
            </c:ext>
          </c:extLst>
        </c:ser>
        <c:ser>
          <c:idx val="1"/>
          <c:order val="1"/>
          <c:spPr>
            <a:ln w="0">
              <a:solidFill>
                <a:srgbClr val="000080"/>
              </a:solidFill>
            </a:ln>
          </c:spPr>
          <c:marker>
            <c:symbol val="diamond"/>
            <c:size val="3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6"/>
                <c:pt idx="0">
                  <c:v>1021.92</c:v>
                </c:pt>
                <c:pt idx="1">
                  <c:v>510.96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6"/>
                <c:pt idx="0">
                  <c:v>119.03345028235201</c:v>
                </c:pt>
                <c:pt idx="1">
                  <c:v>73.930862423220105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2</c15:sqref>
                        </c15:formulaRef>
                      </c:ext>
                    </c:extLst>
                    <c:strCache>
                      <c:ptCount val="1"/>
                      <c:pt idx="0">
                        <c:v>Bingham Plastic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1AB3-4A5B-8A37-16B9A7F2BDD6}"/>
            </c:ext>
          </c:extLst>
        </c:ser>
        <c:ser>
          <c:idx val="2"/>
          <c:order val="2"/>
          <c:spPr>
            <a:ln w="0">
              <a:solidFill>
                <a:srgbClr val="00FF00"/>
              </a:solidFill>
            </a:ln>
          </c:spPr>
          <c:marker>
            <c:symbol val="triangle"/>
            <c:size val="3"/>
            <c:spPr>
              <a:solidFill>
                <a:srgbClr val="00FF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6"/>
                <c:pt idx="0">
                  <c:v>1021.92</c:v>
                </c:pt>
                <c:pt idx="1">
                  <c:v>510.96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3</c:f>
              <c:numCache>
                <c:formatCode>General</c:formatCode>
                <c:ptCount val="6"/>
                <c:pt idx="0">
                  <c:v>76.283572259143796</c:v>
                </c:pt>
                <c:pt idx="1">
                  <c:v>71.109743924750802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3</c15:sqref>
                        </c15:formulaRef>
                      </c:ext>
                    </c:extLst>
                    <c:strCache>
                      <c:ptCount val="1"/>
                      <c:pt idx="0">
                        <c:v>Power Law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1AB3-4A5B-8A37-16B9A7F2BDD6}"/>
            </c:ext>
          </c:extLst>
        </c:ser>
        <c:ser>
          <c:idx val="3"/>
          <c:order val="3"/>
          <c:spPr>
            <a:ln w="0">
              <a:solidFill>
                <a:srgbClr val="00FFFF"/>
              </a:solidFill>
            </a:ln>
          </c:spPr>
          <c:marker>
            <c:symbol val="x"/>
            <c:size val="3"/>
            <c:spPr>
              <a:solidFill>
                <a:srgbClr val="00FF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6"/>
                <c:pt idx="0">
                  <c:v>1021.92</c:v>
                </c:pt>
                <c:pt idx="1">
                  <c:v>510.96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4</c:f>
              <c:numCache>
                <c:formatCode>General</c:formatCode>
                <c:ptCount val="6"/>
                <c:pt idx="0">
                  <c:v>75.804317335743804</c:v>
                </c:pt>
                <c:pt idx="1">
                  <c:v>71.109743924750802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4</c15:sqref>
                        </c15:formulaRef>
                      </c:ext>
                    </c:extLst>
                    <c:strCache>
                      <c:ptCount val="1"/>
                      <c:pt idx="0">
                        <c:v>Herschel-Bulkley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1AB3-4A5B-8A37-16B9A7F2BD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809488"/>
        <c:axId val="58692264"/>
      </c:scatterChart>
      <c:valAx>
        <c:axId val="66809488"/>
        <c:scaling>
          <c:orientation val="minMax"/>
          <c:min val="510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100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Shear rate (1/sec)</a:t>
                </a:r>
              </a:p>
            </c:rich>
          </c:tx>
          <c:layout>
            <c:manualLayout>
              <c:xMode val="edge"/>
              <c:yMode val="edge"/>
              <c:x val="0.42224537640010401"/>
              <c:y val="0.89884678747940705"/>
            </c:manualLayout>
          </c:layout>
          <c:overlay val="0"/>
          <c:spPr>
            <a:noFill/>
            <a:ln w="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000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58692264"/>
        <c:crosses val="autoZero"/>
        <c:crossBetween val="midCat"/>
      </c:valAx>
      <c:valAx>
        <c:axId val="58692264"/>
        <c:scaling>
          <c:orientation val="minMax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1000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Shear stress (dyne/cm^2)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1000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66809488"/>
        <c:crosses val="autoZero"/>
        <c:crossBetween val="midCat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legend>
      <c:legendPos val="r"/>
      <c:layout>
        <c:manualLayout>
          <c:xMode val="edge"/>
          <c:yMode val="edge"/>
          <c:x val="0.103672831466528"/>
          <c:y val="1.97693574958814E-2"/>
          <c:w val="0.90745685444480595"/>
          <c:h val="5.7996485061511401E-2"/>
        </c:manualLayout>
      </c:layout>
      <c:overlay val="0"/>
      <c:spPr>
        <a:solidFill>
          <a:srgbClr val="FFFFFF"/>
        </a:solidFill>
        <a:ln w="0">
          <a:solidFill>
            <a:srgbClr val="000000"/>
          </a:solidFill>
        </a:ln>
      </c:spPr>
      <c:txPr>
        <a:bodyPr/>
        <a:lstStyle/>
        <a:p>
          <a:pPr>
            <a:defRPr sz="1000" b="1" u="none" strike="noStrike">
              <a:solidFill>
                <a:srgbClr val="000000"/>
              </a:solidFill>
              <a:uFillTx/>
              <a:latin typeface="Times New Roman"/>
            </a:defRPr>
          </a:pPr>
          <a:endParaRPr lang="en-US"/>
        </a:p>
      </c:txPr>
    </c:legend>
    <c:plotVisOnly val="1"/>
    <c:dispBlanksAs val="gap"/>
    <c:showDLblsOverMax val="1"/>
  </c:chart>
  <c:spPr>
    <a:blipFill rotWithShape="0">
      <a:blip xmlns:r="http://schemas.openxmlformats.org/officeDocument/2006/relationships" r:embed="rId1"/>
      <a:tile tx="0" ty="0" sx="100000" sy="100000" algn="ctr"/>
    </a:blip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4540198978220001"/>
          <c:y val="8.4155245292686101E-2"/>
          <c:w val="0.83315407367571903"/>
          <c:h val="0.68438580760855605"/>
        </c:manualLayout>
      </c:layout>
      <c:scatterChart>
        <c:scatterStyle val="lineMarker"/>
        <c:varyColors val="0"/>
        <c:ser>
          <c:idx val="0"/>
          <c:order val="0"/>
          <c:spPr>
            <a:ln w="0">
              <a:solidFill>
                <a:srgbClr val="000080"/>
              </a:solidFill>
            </a:ln>
          </c:spPr>
          <c:marker>
            <c:symbol val="diamond"/>
            <c:size val="3"/>
            <c:spPr>
              <a:solidFill>
                <a:srgbClr val="00008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5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  <c:pt idx="7">
                  <c:v>35</c:v>
                </c:pt>
                <c:pt idx="8">
                  <c:v>45</c:v>
                </c:pt>
                <c:pt idx="9">
                  <c:v>55</c:v>
                </c:pt>
                <c:pt idx="10">
                  <c:v>65</c:v>
                </c:pt>
                <c:pt idx="11">
                  <c:v>75</c:v>
                </c:pt>
                <c:pt idx="12">
                  <c:v>85</c:v>
                </c:pt>
                <c:pt idx="13">
                  <c:v>95</c:v>
                </c:pt>
                <c:pt idx="14">
                  <c:v>105</c:v>
                </c:pt>
                <c:pt idx="15">
                  <c:v>115</c:v>
                </c:pt>
                <c:pt idx="16">
                  <c:v>125</c:v>
                </c:pt>
                <c:pt idx="17">
                  <c:v>135</c:v>
                </c:pt>
                <c:pt idx="18">
                  <c:v>145</c:v>
                </c:pt>
                <c:pt idx="19">
                  <c:v>155</c:v>
                </c:pt>
                <c:pt idx="20">
                  <c:v>165</c:v>
                </c:pt>
                <c:pt idx="21">
                  <c:v>175</c:v>
                </c:pt>
                <c:pt idx="22">
                  <c:v>185</c:v>
                </c:pt>
                <c:pt idx="23">
                  <c:v>195</c:v>
                </c:pt>
                <c:pt idx="24">
                  <c:v>205</c:v>
                </c:pt>
                <c:pt idx="25">
                  <c:v>215</c:v>
                </c:pt>
                <c:pt idx="26">
                  <c:v>225</c:v>
                </c:pt>
                <c:pt idx="27">
                  <c:v>255</c:v>
                </c:pt>
                <c:pt idx="28">
                  <c:v>285</c:v>
                </c:pt>
                <c:pt idx="29">
                  <c:v>385</c:v>
                </c:pt>
                <c:pt idx="30">
                  <c:v>485</c:v>
                </c:pt>
                <c:pt idx="31">
                  <c:v>585</c:v>
                </c:pt>
                <c:pt idx="32">
                  <c:v>685</c:v>
                </c:pt>
                <c:pt idx="33">
                  <c:v>785</c:v>
                </c:pt>
                <c:pt idx="34">
                  <c:v>885</c:v>
                </c:pt>
                <c:pt idx="35">
                  <c:v>985</c:v>
                </c:pt>
                <c:pt idx="36">
                  <c:v>1085</c:v>
                </c:pt>
                <c:pt idx="37">
                  <c:v>1185</c:v>
                </c:pt>
                <c:pt idx="38">
                  <c:v>1285</c:v>
                </c:pt>
                <c:pt idx="39">
                  <c:v>1385</c:v>
                </c:pt>
                <c:pt idx="40">
                  <c:v>1485</c:v>
                </c:pt>
                <c:pt idx="41">
                  <c:v>1585</c:v>
                </c:pt>
                <c:pt idx="42">
                  <c:v>1685</c:v>
                </c:pt>
                <c:pt idx="43">
                  <c:v>1785</c:v>
                </c:pt>
                <c:pt idx="44">
                  <c:v>1885</c:v>
                </c:pt>
                <c:pt idx="45">
                  <c:v>1985</c:v>
                </c:pt>
                <c:pt idx="46">
                  <c:v>2085</c:v>
                </c:pt>
                <c:pt idx="47">
                  <c:v>2585</c:v>
                </c:pt>
                <c:pt idx="48">
                  <c:v>2785</c:v>
                </c:pt>
                <c:pt idx="49">
                  <c:v>2985</c:v>
                </c:pt>
                <c:pt idx="50">
                  <c:v>3185</c:v>
                </c:pt>
                <c:pt idx="51">
                  <c:v>3385</c:v>
                </c:pt>
                <c:pt idx="52">
                  <c:v>3585</c:v>
                </c:pt>
                <c:pt idx="53">
                  <c:v>3420</c:v>
                </c:pt>
              </c:numCache>
            </c:numRef>
          </c:xVal>
          <c:yVal>
            <c:numRef>
              <c:f>1</c:f>
              <c:numCache>
                <c:formatCode>General</c:formatCode>
                <c:ptCount val="54"/>
                <c:pt idx="0">
                  <c:v>206.62221389611901</c:v>
                </c:pt>
                <c:pt idx="1">
                  <c:v>194.62221389611901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1</c15:sqref>
                        </c15:formulaRef>
                      </c:ext>
                    </c:extLst>
                    <c:strCache>
                      <c:ptCount val="1"/>
                      <c:pt idx="0">
                        <c:v>pressure drop across sand face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B2EA-408F-92F8-A5D4CD56A6B8}"/>
            </c:ext>
          </c:extLst>
        </c:ser>
        <c:ser>
          <c:idx val="1"/>
          <c:order val="1"/>
          <c:spPr>
            <a:ln w="0">
              <a:solidFill>
                <a:srgbClr val="FF00FF"/>
              </a:solidFill>
            </a:ln>
          </c:spPr>
          <c:marker>
            <c:symbol val="square"/>
            <c:size val="3"/>
            <c:spPr>
              <a:solidFill>
                <a:srgbClr val="FF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u="none" strike="noStrike">
                    <a:uFillTx/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0</c:f>
              <c:numCache>
                <c:formatCode>General</c:formatCode>
                <c:ptCount val="5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30</c:v>
                </c:pt>
                <c:pt idx="7">
                  <c:v>35</c:v>
                </c:pt>
                <c:pt idx="8">
                  <c:v>45</c:v>
                </c:pt>
                <c:pt idx="9">
                  <c:v>55</c:v>
                </c:pt>
                <c:pt idx="10">
                  <c:v>65</c:v>
                </c:pt>
                <c:pt idx="11">
                  <c:v>75</c:v>
                </c:pt>
                <c:pt idx="12">
                  <c:v>85</c:v>
                </c:pt>
                <c:pt idx="13">
                  <c:v>95</c:v>
                </c:pt>
                <c:pt idx="14">
                  <c:v>105</c:v>
                </c:pt>
                <c:pt idx="15">
                  <c:v>115</c:v>
                </c:pt>
                <c:pt idx="16">
                  <c:v>125</c:v>
                </c:pt>
                <c:pt idx="17">
                  <c:v>135</c:v>
                </c:pt>
                <c:pt idx="18">
                  <c:v>145</c:v>
                </c:pt>
                <c:pt idx="19">
                  <c:v>155</c:v>
                </c:pt>
                <c:pt idx="20">
                  <c:v>165</c:v>
                </c:pt>
                <c:pt idx="21">
                  <c:v>175</c:v>
                </c:pt>
                <c:pt idx="22">
                  <c:v>185</c:v>
                </c:pt>
                <c:pt idx="23">
                  <c:v>195</c:v>
                </c:pt>
                <c:pt idx="24">
                  <c:v>205</c:v>
                </c:pt>
                <c:pt idx="25">
                  <c:v>215</c:v>
                </c:pt>
                <c:pt idx="26">
                  <c:v>225</c:v>
                </c:pt>
                <c:pt idx="27">
                  <c:v>255</c:v>
                </c:pt>
                <c:pt idx="28">
                  <c:v>285</c:v>
                </c:pt>
                <c:pt idx="29">
                  <c:v>385</c:v>
                </c:pt>
                <c:pt idx="30">
                  <c:v>485</c:v>
                </c:pt>
                <c:pt idx="31">
                  <c:v>585</c:v>
                </c:pt>
                <c:pt idx="32">
                  <c:v>685</c:v>
                </c:pt>
                <c:pt idx="33">
                  <c:v>785</c:v>
                </c:pt>
                <c:pt idx="34">
                  <c:v>885</c:v>
                </c:pt>
                <c:pt idx="35">
                  <c:v>985</c:v>
                </c:pt>
                <c:pt idx="36">
                  <c:v>1085</c:v>
                </c:pt>
                <c:pt idx="37">
                  <c:v>1185</c:v>
                </c:pt>
                <c:pt idx="38">
                  <c:v>1285</c:v>
                </c:pt>
                <c:pt idx="39">
                  <c:v>1385</c:v>
                </c:pt>
                <c:pt idx="40">
                  <c:v>1485</c:v>
                </c:pt>
                <c:pt idx="41">
                  <c:v>1585</c:v>
                </c:pt>
                <c:pt idx="42">
                  <c:v>1685</c:v>
                </c:pt>
                <c:pt idx="43">
                  <c:v>1785</c:v>
                </c:pt>
                <c:pt idx="44">
                  <c:v>1885</c:v>
                </c:pt>
                <c:pt idx="45">
                  <c:v>1985</c:v>
                </c:pt>
                <c:pt idx="46">
                  <c:v>2085</c:v>
                </c:pt>
                <c:pt idx="47">
                  <c:v>2585</c:v>
                </c:pt>
                <c:pt idx="48">
                  <c:v>2785</c:v>
                </c:pt>
                <c:pt idx="49">
                  <c:v>2985</c:v>
                </c:pt>
                <c:pt idx="50">
                  <c:v>3185</c:v>
                </c:pt>
                <c:pt idx="51">
                  <c:v>3385</c:v>
                </c:pt>
                <c:pt idx="52">
                  <c:v>3585</c:v>
                </c:pt>
                <c:pt idx="53">
                  <c:v>3420</c:v>
                </c:pt>
              </c:numCache>
            </c:numRef>
          </c:xVal>
          <c:yVal>
            <c:numRef>
              <c:f>2</c:f>
              <c:numCache>
                <c:formatCode>General</c:formatCode>
                <c:ptCount val="54"/>
                <c:pt idx="0">
                  <c:v>0</c:v>
                </c:pt>
                <c:pt idx="1">
                  <c:v>12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label 2</c15:sqref>
                        </c15:formulaRef>
                      </c:ext>
                    </c:extLst>
                    <c:strCache>
                      <c:ptCount val="1"/>
                      <c:pt idx="0">
                        <c:v>pressure drop across filter cake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B2EA-408F-92F8-A5D4CD56A6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77500"/>
        <c:axId val="25806967"/>
      </c:scatterChart>
      <c:valAx>
        <c:axId val="46577500"/>
        <c:scaling>
          <c:orientation val="minMax"/>
        </c:scaling>
        <c:delete val="0"/>
        <c:axPos val="b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875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Time (min)</a:t>
                </a:r>
              </a:p>
            </c:rich>
          </c:tx>
          <c:layout>
            <c:manualLayout>
              <c:xMode val="edge"/>
              <c:yMode val="edge"/>
              <c:x val="0.46833826297391801"/>
              <c:y val="0.86806711925195301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75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25806967"/>
        <c:crosses val="autoZero"/>
        <c:crossBetween val="midCat"/>
      </c:valAx>
      <c:valAx>
        <c:axId val="25806967"/>
        <c:scaling>
          <c:orientation val="minMax"/>
          <c:min val="0"/>
        </c:scaling>
        <c:delete val="0"/>
        <c:axPos val="l"/>
        <c:majorGridlines>
          <c:spPr>
            <a:ln w="0"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300" b="0" u="none" strike="noStrike">
                    <a:uFillTx/>
                    <a:latin typeface="Arial"/>
                  </a:defRPr>
                </a:pPr>
                <a:r>
                  <a:rPr sz="875" b="1" u="none" strike="noStrike">
                    <a:solidFill>
                      <a:srgbClr val="000000"/>
                    </a:solidFill>
                    <a:uFillTx/>
                    <a:latin typeface="Times New Roman"/>
                  </a:rPr>
                  <a:t>Filtration Pressure (psi)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0">
            <a:solidFill>
              <a:srgbClr val="000000"/>
            </a:solidFill>
          </a:ln>
        </c:spPr>
        <c:txPr>
          <a:bodyPr/>
          <a:lstStyle/>
          <a:p>
            <a:pPr>
              <a:defRPr sz="875" b="1" u="none" strike="noStrike">
                <a:solidFill>
                  <a:srgbClr val="000000"/>
                </a:solidFill>
                <a:uFillTx/>
                <a:latin typeface="Times New Roman"/>
              </a:defRPr>
            </a:pPr>
            <a:endParaRPr lang="en-US"/>
          </a:p>
        </c:txPr>
        <c:crossAx val="46577500"/>
        <c:crosses val="autoZero"/>
        <c:crossBetween val="midCat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legend>
      <c:legendPos val="r"/>
      <c:layout>
        <c:manualLayout>
          <c:xMode val="edge"/>
          <c:yMode val="edge"/>
          <c:x val="0.38215918257596099"/>
          <c:y val="0.36018957345971597"/>
          <c:w val="0.436302521008403"/>
          <c:h val="0.15808352549321"/>
        </c:manualLayout>
      </c:layout>
      <c:overlay val="0"/>
      <c:spPr>
        <a:solidFill>
          <a:srgbClr val="FFFFFF"/>
        </a:solidFill>
        <a:ln w="0">
          <a:solidFill>
            <a:srgbClr val="000000"/>
          </a:solidFill>
        </a:ln>
      </c:spPr>
      <c:txPr>
        <a:bodyPr/>
        <a:lstStyle/>
        <a:p>
          <a:pPr>
            <a:defRPr sz="975" b="1" u="none" strike="noStrike">
              <a:solidFill>
                <a:srgbClr val="000000"/>
              </a:solidFill>
              <a:uFillTx/>
              <a:latin typeface="Times New Roman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8080"/>
    </a:solidFill>
    <a:ln w="0"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Button" lockText="1"/>
</file>

<file path=xl/ctrlProps/ctrlProp10.xml><?xml version="1.0" encoding="utf-8"?>
<formControlPr xmlns="http://schemas.microsoft.com/office/spreadsheetml/2009/9/main" objectType="Button" lockText="1"/>
</file>

<file path=xl/ctrlProps/ctrlProp100.xml><?xml version="1.0" encoding="utf-8"?>
<formControlPr xmlns="http://schemas.microsoft.com/office/spreadsheetml/2009/9/main" objectType="Button" lockText="1"/>
</file>

<file path=xl/ctrlProps/ctrlProp101.xml><?xml version="1.0" encoding="utf-8"?>
<formControlPr xmlns="http://schemas.microsoft.com/office/spreadsheetml/2009/9/main" objectType="Button" lockText="1"/>
</file>

<file path=xl/ctrlProps/ctrlProp102.xml><?xml version="1.0" encoding="utf-8"?>
<formControlPr xmlns="http://schemas.microsoft.com/office/spreadsheetml/2009/9/main" objectType="Button" lockText="1"/>
</file>

<file path=xl/ctrlProps/ctrlProp103.xml><?xml version="1.0" encoding="utf-8"?>
<formControlPr xmlns="http://schemas.microsoft.com/office/spreadsheetml/2009/9/main" objectType="Button" lockText="1"/>
</file>

<file path=xl/ctrlProps/ctrlProp104.xml><?xml version="1.0" encoding="utf-8"?>
<formControlPr xmlns="http://schemas.microsoft.com/office/spreadsheetml/2009/9/main" objectType="Button" lockText="1"/>
</file>

<file path=xl/ctrlProps/ctrlProp105.xml><?xml version="1.0" encoding="utf-8"?>
<formControlPr xmlns="http://schemas.microsoft.com/office/spreadsheetml/2009/9/main" objectType="Button" lockText="1"/>
</file>

<file path=xl/ctrlProps/ctrlProp106.xml><?xml version="1.0" encoding="utf-8"?>
<formControlPr xmlns="http://schemas.microsoft.com/office/spreadsheetml/2009/9/main" objectType="Button" lockText="1"/>
</file>

<file path=xl/ctrlProps/ctrlProp107.xml><?xml version="1.0" encoding="utf-8"?>
<formControlPr xmlns="http://schemas.microsoft.com/office/spreadsheetml/2009/9/main" objectType="Button" lockText="1"/>
</file>

<file path=xl/ctrlProps/ctrlProp108.xml><?xml version="1.0" encoding="utf-8"?>
<formControlPr xmlns="http://schemas.microsoft.com/office/spreadsheetml/2009/9/main" objectType="Button" lockText="1"/>
</file>

<file path=xl/ctrlProps/ctrlProp109.xml><?xml version="1.0" encoding="utf-8"?>
<formControlPr xmlns="http://schemas.microsoft.com/office/spreadsheetml/2009/9/main" objectType="Button" lockText="1"/>
</file>

<file path=xl/ctrlProps/ctrlProp11.xml><?xml version="1.0" encoding="utf-8"?>
<formControlPr xmlns="http://schemas.microsoft.com/office/spreadsheetml/2009/9/main" objectType="Button" lockText="1"/>
</file>

<file path=xl/ctrlProps/ctrlProp110.xml><?xml version="1.0" encoding="utf-8"?>
<formControlPr xmlns="http://schemas.microsoft.com/office/spreadsheetml/2009/9/main" objectType="Button" lockText="1"/>
</file>

<file path=xl/ctrlProps/ctrlProp111.xml><?xml version="1.0" encoding="utf-8"?>
<formControlPr xmlns="http://schemas.microsoft.com/office/spreadsheetml/2009/9/main" objectType="Button" lockText="1"/>
</file>

<file path=xl/ctrlProps/ctrlProp112.xml><?xml version="1.0" encoding="utf-8"?>
<formControlPr xmlns="http://schemas.microsoft.com/office/spreadsheetml/2009/9/main" objectType="Button" lockText="1"/>
</file>

<file path=xl/ctrlProps/ctrlProp113.xml><?xml version="1.0" encoding="utf-8"?>
<formControlPr xmlns="http://schemas.microsoft.com/office/spreadsheetml/2009/9/main" objectType="Button" lockText="1"/>
</file>

<file path=xl/ctrlProps/ctrlProp114.xml><?xml version="1.0" encoding="utf-8"?>
<formControlPr xmlns="http://schemas.microsoft.com/office/spreadsheetml/2009/9/main" objectType="Button" lockText="1"/>
</file>

<file path=xl/ctrlProps/ctrlProp115.xml><?xml version="1.0" encoding="utf-8"?>
<formControlPr xmlns="http://schemas.microsoft.com/office/spreadsheetml/2009/9/main" objectType="Button" lockText="1"/>
</file>

<file path=xl/ctrlProps/ctrlProp116.xml><?xml version="1.0" encoding="utf-8"?>
<formControlPr xmlns="http://schemas.microsoft.com/office/spreadsheetml/2009/9/main" objectType="Button" lockText="1"/>
</file>

<file path=xl/ctrlProps/ctrlProp117.xml><?xml version="1.0" encoding="utf-8"?>
<formControlPr xmlns="http://schemas.microsoft.com/office/spreadsheetml/2009/9/main" objectType="Button" lockText="1"/>
</file>

<file path=xl/ctrlProps/ctrlProp118.xml><?xml version="1.0" encoding="utf-8"?>
<formControlPr xmlns="http://schemas.microsoft.com/office/spreadsheetml/2009/9/main" objectType="Button" lockText="1"/>
</file>

<file path=xl/ctrlProps/ctrlProp119.xml><?xml version="1.0" encoding="utf-8"?>
<formControlPr xmlns="http://schemas.microsoft.com/office/spreadsheetml/2009/9/main" objectType="Button" lockText="1"/>
</file>

<file path=xl/ctrlProps/ctrlProp12.xml><?xml version="1.0" encoding="utf-8"?>
<formControlPr xmlns="http://schemas.microsoft.com/office/spreadsheetml/2009/9/main" objectType="Button" lockText="1"/>
</file>

<file path=xl/ctrlProps/ctrlProp120.xml><?xml version="1.0" encoding="utf-8"?>
<formControlPr xmlns="http://schemas.microsoft.com/office/spreadsheetml/2009/9/main" objectType="Button" lockText="1"/>
</file>

<file path=xl/ctrlProps/ctrlProp121.xml><?xml version="1.0" encoding="utf-8"?>
<formControlPr xmlns="http://schemas.microsoft.com/office/spreadsheetml/2009/9/main" objectType="Button" lockText="1"/>
</file>

<file path=xl/ctrlProps/ctrlProp122.xml><?xml version="1.0" encoding="utf-8"?>
<formControlPr xmlns="http://schemas.microsoft.com/office/spreadsheetml/2009/9/main" objectType="Button" lockText="1"/>
</file>

<file path=xl/ctrlProps/ctrlProp123.xml><?xml version="1.0" encoding="utf-8"?>
<formControlPr xmlns="http://schemas.microsoft.com/office/spreadsheetml/2009/9/main" objectType="Button" lockText="1"/>
</file>

<file path=xl/ctrlProps/ctrlProp124.xml><?xml version="1.0" encoding="utf-8"?>
<formControlPr xmlns="http://schemas.microsoft.com/office/spreadsheetml/2009/9/main" objectType="Button" lockText="1"/>
</file>

<file path=xl/ctrlProps/ctrlProp125.xml><?xml version="1.0" encoding="utf-8"?>
<formControlPr xmlns="http://schemas.microsoft.com/office/spreadsheetml/2009/9/main" objectType="Button" lockText="1"/>
</file>

<file path=xl/ctrlProps/ctrlProp126.xml><?xml version="1.0" encoding="utf-8"?>
<formControlPr xmlns="http://schemas.microsoft.com/office/spreadsheetml/2009/9/main" objectType="Button" lockText="1"/>
</file>

<file path=xl/ctrlProps/ctrlProp127.xml><?xml version="1.0" encoding="utf-8"?>
<formControlPr xmlns="http://schemas.microsoft.com/office/spreadsheetml/2009/9/main" objectType="Button" lockText="1"/>
</file>

<file path=xl/ctrlProps/ctrlProp128.xml><?xml version="1.0" encoding="utf-8"?>
<formControlPr xmlns="http://schemas.microsoft.com/office/spreadsheetml/2009/9/main" objectType="Button" lockText="1"/>
</file>

<file path=xl/ctrlProps/ctrlProp129.xml><?xml version="1.0" encoding="utf-8"?>
<formControlPr xmlns="http://schemas.microsoft.com/office/spreadsheetml/2009/9/main" objectType="Button" lockText="1"/>
</file>

<file path=xl/ctrlProps/ctrlProp13.xml><?xml version="1.0" encoding="utf-8"?>
<formControlPr xmlns="http://schemas.microsoft.com/office/spreadsheetml/2009/9/main" objectType="Button" lockText="1"/>
</file>

<file path=xl/ctrlProps/ctrlProp130.xml><?xml version="1.0" encoding="utf-8"?>
<formControlPr xmlns="http://schemas.microsoft.com/office/spreadsheetml/2009/9/main" objectType="Button" lockText="1"/>
</file>

<file path=xl/ctrlProps/ctrlProp131.xml><?xml version="1.0" encoding="utf-8"?>
<formControlPr xmlns="http://schemas.microsoft.com/office/spreadsheetml/2009/9/main" objectType="Button" lockText="1"/>
</file>

<file path=xl/ctrlProps/ctrlProp132.xml><?xml version="1.0" encoding="utf-8"?>
<formControlPr xmlns="http://schemas.microsoft.com/office/spreadsheetml/2009/9/main" objectType="Button" lockText="1"/>
</file>

<file path=xl/ctrlProps/ctrlProp133.xml><?xml version="1.0" encoding="utf-8"?>
<formControlPr xmlns="http://schemas.microsoft.com/office/spreadsheetml/2009/9/main" objectType="Button" lockText="1"/>
</file>

<file path=xl/ctrlProps/ctrlProp134.xml><?xml version="1.0" encoding="utf-8"?>
<formControlPr xmlns="http://schemas.microsoft.com/office/spreadsheetml/2009/9/main" objectType="Button" lockText="1"/>
</file>

<file path=xl/ctrlProps/ctrlProp135.xml><?xml version="1.0" encoding="utf-8"?>
<formControlPr xmlns="http://schemas.microsoft.com/office/spreadsheetml/2009/9/main" objectType="Button" lockText="1"/>
</file>

<file path=xl/ctrlProps/ctrlProp136.xml><?xml version="1.0" encoding="utf-8"?>
<formControlPr xmlns="http://schemas.microsoft.com/office/spreadsheetml/2009/9/main" objectType="Button" lockText="1"/>
</file>

<file path=xl/ctrlProps/ctrlProp137.xml><?xml version="1.0" encoding="utf-8"?>
<formControlPr xmlns="http://schemas.microsoft.com/office/spreadsheetml/2009/9/main" objectType="Button" lockText="1"/>
</file>

<file path=xl/ctrlProps/ctrlProp138.xml><?xml version="1.0" encoding="utf-8"?>
<formControlPr xmlns="http://schemas.microsoft.com/office/spreadsheetml/2009/9/main" objectType="Button" lockText="1"/>
</file>

<file path=xl/ctrlProps/ctrlProp139.xml><?xml version="1.0" encoding="utf-8"?>
<formControlPr xmlns="http://schemas.microsoft.com/office/spreadsheetml/2009/9/main" objectType="Button" lockText="1"/>
</file>

<file path=xl/ctrlProps/ctrlProp14.xml><?xml version="1.0" encoding="utf-8"?>
<formControlPr xmlns="http://schemas.microsoft.com/office/spreadsheetml/2009/9/main" objectType="Button" lockText="1"/>
</file>

<file path=xl/ctrlProps/ctrlProp140.xml><?xml version="1.0" encoding="utf-8"?>
<formControlPr xmlns="http://schemas.microsoft.com/office/spreadsheetml/2009/9/main" objectType="Button" lockText="1"/>
</file>

<file path=xl/ctrlProps/ctrlProp141.xml><?xml version="1.0" encoding="utf-8"?>
<formControlPr xmlns="http://schemas.microsoft.com/office/spreadsheetml/2009/9/main" objectType="Button" lockText="1"/>
</file>

<file path=xl/ctrlProps/ctrlProp142.xml><?xml version="1.0" encoding="utf-8"?>
<formControlPr xmlns="http://schemas.microsoft.com/office/spreadsheetml/2009/9/main" objectType="Button" lockText="1"/>
</file>

<file path=xl/ctrlProps/ctrlProp143.xml><?xml version="1.0" encoding="utf-8"?>
<formControlPr xmlns="http://schemas.microsoft.com/office/spreadsheetml/2009/9/main" objectType="Button" lockText="1"/>
</file>

<file path=xl/ctrlProps/ctrlProp144.xml><?xml version="1.0" encoding="utf-8"?>
<formControlPr xmlns="http://schemas.microsoft.com/office/spreadsheetml/2009/9/main" objectType="Button" lockText="1"/>
</file>

<file path=xl/ctrlProps/ctrlProp145.xml><?xml version="1.0" encoding="utf-8"?>
<formControlPr xmlns="http://schemas.microsoft.com/office/spreadsheetml/2009/9/main" objectType="Button" lockText="1"/>
</file>

<file path=xl/ctrlProps/ctrlProp146.xml><?xml version="1.0" encoding="utf-8"?>
<formControlPr xmlns="http://schemas.microsoft.com/office/spreadsheetml/2009/9/main" objectType="Button" lockText="1"/>
</file>

<file path=xl/ctrlProps/ctrlProp147.xml><?xml version="1.0" encoding="utf-8"?>
<formControlPr xmlns="http://schemas.microsoft.com/office/spreadsheetml/2009/9/main" objectType="Button" lockText="1"/>
</file>

<file path=xl/ctrlProps/ctrlProp148.xml><?xml version="1.0" encoding="utf-8"?>
<formControlPr xmlns="http://schemas.microsoft.com/office/spreadsheetml/2009/9/main" objectType="Button" lockText="1"/>
</file>

<file path=xl/ctrlProps/ctrlProp149.xml><?xml version="1.0" encoding="utf-8"?>
<formControlPr xmlns="http://schemas.microsoft.com/office/spreadsheetml/2009/9/main" objectType="Button" lockText="1"/>
</file>

<file path=xl/ctrlProps/ctrlProp15.xml><?xml version="1.0" encoding="utf-8"?>
<formControlPr xmlns="http://schemas.microsoft.com/office/spreadsheetml/2009/9/main" objectType="Button" lockText="1"/>
</file>

<file path=xl/ctrlProps/ctrlProp150.xml><?xml version="1.0" encoding="utf-8"?>
<formControlPr xmlns="http://schemas.microsoft.com/office/spreadsheetml/2009/9/main" objectType="Button" lockText="1"/>
</file>

<file path=xl/ctrlProps/ctrlProp151.xml><?xml version="1.0" encoding="utf-8"?>
<formControlPr xmlns="http://schemas.microsoft.com/office/spreadsheetml/2009/9/main" objectType="Button" lockText="1"/>
</file>

<file path=xl/ctrlProps/ctrlProp152.xml><?xml version="1.0" encoding="utf-8"?>
<formControlPr xmlns="http://schemas.microsoft.com/office/spreadsheetml/2009/9/main" objectType="Button" lockText="1"/>
</file>

<file path=xl/ctrlProps/ctrlProp153.xml><?xml version="1.0" encoding="utf-8"?>
<formControlPr xmlns="http://schemas.microsoft.com/office/spreadsheetml/2009/9/main" objectType="Button" lockText="1"/>
</file>

<file path=xl/ctrlProps/ctrlProp154.xml><?xml version="1.0" encoding="utf-8"?>
<formControlPr xmlns="http://schemas.microsoft.com/office/spreadsheetml/2009/9/main" objectType="Button" lockText="1"/>
</file>

<file path=xl/ctrlProps/ctrlProp16.xml><?xml version="1.0" encoding="utf-8"?>
<formControlPr xmlns="http://schemas.microsoft.com/office/spreadsheetml/2009/9/main" objectType="Button" lockText="1"/>
</file>

<file path=xl/ctrlProps/ctrlProp17.xml><?xml version="1.0" encoding="utf-8"?>
<formControlPr xmlns="http://schemas.microsoft.com/office/spreadsheetml/2009/9/main" objectType="Button" lockText="1"/>
</file>

<file path=xl/ctrlProps/ctrlProp18.xml><?xml version="1.0" encoding="utf-8"?>
<formControlPr xmlns="http://schemas.microsoft.com/office/spreadsheetml/2009/9/main" objectType="Button" lockText="1"/>
</file>

<file path=xl/ctrlProps/ctrlProp19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20.xml><?xml version="1.0" encoding="utf-8"?>
<formControlPr xmlns="http://schemas.microsoft.com/office/spreadsheetml/2009/9/main" objectType="Button" lockText="1"/>
</file>

<file path=xl/ctrlProps/ctrlProp21.xml><?xml version="1.0" encoding="utf-8"?>
<formControlPr xmlns="http://schemas.microsoft.com/office/spreadsheetml/2009/9/main" objectType="Button" lockText="1"/>
</file>

<file path=xl/ctrlProps/ctrlProp22.xml><?xml version="1.0" encoding="utf-8"?>
<formControlPr xmlns="http://schemas.microsoft.com/office/spreadsheetml/2009/9/main" objectType="Button" lockText="1"/>
</file>

<file path=xl/ctrlProps/ctrlProp23.xml><?xml version="1.0" encoding="utf-8"?>
<formControlPr xmlns="http://schemas.microsoft.com/office/spreadsheetml/2009/9/main" objectType="Button" lockText="1"/>
</file>

<file path=xl/ctrlProps/ctrlProp24.xml><?xml version="1.0" encoding="utf-8"?>
<formControlPr xmlns="http://schemas.microsoft.com/office/spreadsheetml/2009/9/main" objectType="Button" lockText="1"/>
</file>

<file path=xl/ctrlProps/ctrlProp25.xml><?xml version="1.0" encoding="utf-8"?>
<formControlPr xmlns="http://schemas.microsoft.com/office/spreadsheetml/2009/9/main" objectType="Button" lockText="1"/>
</file>

<file path=xl/ctrlProps/ctrlProp26.xml><?xml version="1.0" encoding="utf-8"?>
<formControlPr xmlns="http://schemas.microsoft.com/office/spreadsheetml/2009/9/main" objectType="Button" lockText="1"/>
</file>

<file path=xl/ctrlProps/ctrlProp27.xml><?xml version="1.0" encoding="utf-8"?>
<formControlPr xmlns="http://schemas.microsoft.com/office/spreadsheetml/2009/9/main" objectType="Button" lockText="1"/>
</file>

<file path=xl/ctrlProps/ctrlProp28.xml><?xml version="1.0" encoding="utf-8"?>
<formControlPr xmlns="http://schemas.microsoft.com/office/spreadsheetml/2009/9/main" objectType="Button" lockText="1"/>
</file>

<file path=xl/ctrlProps/ctrlProp29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30.xml><?xml version="1.0" encoding="utf-8"?>
<formControlPr xmlns="http://schemas.microsoft.com/office/spreadsheetml/2009/9/main" objectType="Button" lockText="1"/>
</file>

<file path=xl/ctrlProps/ctrlProp31.xml><?xml version="1.0" encoding="utf-8"?>
<formControlPr xmlns="http://schemas.microsoft.com/office/spreadsheetml/2009/9/main" objectType="Button" lockText="1"/>
</file>

<file path=xl/ctrlProps/ctrlProp32.xml><?xml version="1.0" encoding="utf-8"?>
<formControlPr xmlns="http://schemas.microsoft.com/office/spreadsheetml/2009/9/main" objectType="Button" lockText="1"/>
</file>

<file path=xl/ctrlProps/ctrlProp33.xml><?xml version="1.0" encoding="utf-8"?>
<formControlPr xmlns="http://schemas.microsoft.com/office/spreadsheetml/2009/9/main" objectType="Button" lockText="1"/>
</file>

<file path=xl/ctrlProps/ctrlProp34.xml><?xml version="1.0" encoding="utf-8"?>
<formControlPr xmlns="http://schemas.microsoft.com/office/spreadsheetml/2009/9/main" objectType="Button" lockText="1"/>
</file>

<file path=xl/ctrlProps/ctrlProp35.xml><?xml version="1.0" encoding="utf-8"?>
<formControlPr xmlns="http://schemas.microsoft.com/office/spreadsheetml/2009/9/main" objectType="Button" lockText="1"/>
</file>

<file path=xl/ctrlProps/ctrlProp36.xml><?xml version="1.0" encoding="utf-8"?>
<formControlPr xmlns="http://schemas.microsoft.com/office/spreadsheetml/2009/9/main" objectType="Button" lockText="1"/>
</file>

<file path=xl/ctrlProps/ctrlProp37.xml><?xml version="1.0" encoding="utf-8"?>
<formControlPr xmlns="http://schemas.microsoft.com/office/spreadsheetml/2009/9/main" objectType="Button" lockText="1"/>
</file>

<file path=xl/ctrlProps/ctrlProp38.xml><?xml version="1.0" encoding="utf-8"?>
<formControlPr xmlns="http://schemas.microsoft.com/office/spreadsheetml/2009/9/main" objectType="Button" lockText="1"/>
</file>

<file path=xl/ctrlProps/ctrlProp39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40.xml><?xml version="1.0" encoding="utf-8"?>
<formControlPr xmlns="http://schemas.microsoft.com/office/spreadsheetml/2009/9/main" objectType="Button" lockText="1"/>
</file>

<file path=xl/ctrlProps/ctrlProp41.xml><?xml version="1.0" encoding="utf-8"?>
<formControlPr xmlns="http://schemas.microsoft.com/office/spreadsheetml/2009/9/main" objectType="Button" lockText="1"/>
</file>

<file path=xl/ctrlProps/ctrlProp42.xml><?xml version="1.0" encoding="utf-8"?>
<formControlPr xmlns="http://schemas.microsoft.com/office/spreadsheetml/2009/9/main" objectType="Button" lockText="1"/>
</file>

<file path=xl/ctrlProps/ctrlProp43.xml><?xml version="1.0" encoding="utf-8"?>
<formControlPr xmlns="http://schemas.microsoft.com/office/spreadsheetml/2009/9/main" objectType="Button" lockText="1"/>
</file>

<file path=xl/ctrlProps/ctrlProp44.xml><?xml version="1.0" encoding="utf-8"?>
<formControlPr xmlns="http://schemas.microsoft.com/office/spreadsheetml/2009/9/main" objectType="Button" lockText="1"/>
</file>

<file path=xl/ctrlProps/ctrlProp45.xml><?xml version="1.0" encoding="utf-8"?>
<formControlPr xmlns="http://schemas.microsoft.com/office/spreadsheetml/2009/9/main" objectType="Button" lockText="1"/>
</file>

<file path=xl/ctrlProps/ctrlProp46.xml><?xml version="1.0" encoding="utf-8"?>
<formControlPr xmlns="http://schemas.microsoft.com/office/spreadsheetml/2009/9/main" objectType="Button" lockText="1"/>
</file>

<file path=xl/ctrlProps/ctrlProp47.xml><?xml version="1.0" encoding="utf-8"?>
<formControlPr xmlns="http://schemas.microsoft.com/office/spreadsheetml/2009/9/main" objectType="Button" lockText="1"/>
</file>

<file path=xl/ctrlProps/ctrlProp48.xml><?xml version="1.0" encoding="utf-8"?>
<formControlPr xmlns="http://schemas.microsoft.com/office/spreadsheetml/2009/9/main" objectType="Button" lockText="1"/>
</file>

<file path=xl/ctrlProps/ctrlProp49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50.xml><?xml version="1.0" encoding="utf-8"?>
<formControlPr xmlns="http://schemas.microsoft.com/office/spreadsheetml/2009/9/main" objectType="Button" lockText="1"/>
</file>

<file path=xl/ctrlProps/ctrlProp51.xml><?xml version="1.0" encoding="utf-8"?>
<formControlPr xmlns="http://schemas.microsoft.com/office/spreadsheetml/2009/9/main" objectType="Button" lockText="1"/>
</file>

<file path=xl/ctrlProps/ctrlProp52.xml><?xml version="1.0" encoding="utf-8"?>
<formControlPr xmlns="http://schemas.microsoft.com/office/spreadsheetml/2009/9/main" objectType="Button" lockText="1"/>
</file>

<file path=xl/ctrlProps/ctrlProp53.xml><?xml version="1.0" encoding="utf-8"?>
<formControlPr xmlns="http://schemas.microsoft.com/office/spreadsheetml/2009/9/main" objectType="Button" lockText="1"/>
</file>

<file path=xl/ctrlProps/ctrlProp54.xml><?xml version="1.0" encoding="utf-8"?>
<formControlPr xmlns="http://schemas.microsoft.com/office/spreadsheetml/2009/9/main" objectType="Button" lockText="1"/>
</file>

<file path=xl/ctrlProps/ctrlProp55.xml><?xml version="1.0" encoding="utf-8"?>
<formControlPr xmlns="http://schemas.microsoft.com/office/spreadsheetml/2009/9/main" objectType="Button" lockText="1"/>
</file>

<file path=xl/ctrlProps/ctrlProp56.xml><?xml version="1.0" encoding="utf-8"?>
<formControlPr xmlns="http://schemas.microsoft.com/office/spreadsheetml/2009/9/main" objectType="Button" lockText="1"/>
</file>

<file path=xl/ctrlProps/ctrlProp57.xml><?xml version="1.0" encoding="utf-8"?>
<formControlPr xmlns="http://schemas.microsoft.com/office/spreadsheetml/2009/9/main" objectType="Button" lockText="1"/>
</file>

<file path=xl/ctrlProps/ctrlProp58.xml><?xml version="1.0" encoding="utf-8"?>
<formControlPr xmlns="http://schemas.microsoft.com/office/spreadsheetml/2009/9/main" objectType="Button" lockText="1"/>
</file>

<file path=xl/ctrlProps/ctrlProp59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60.xml><?xml version="1.0" encoding="utf-8"?>
<formControlPr xmlns="http://schemas.microsoft.com/office/spreadsheetml/2009/9/main" objectType="Button" lockText="1"/>
</file>

<file path=xl/ctrlProps/ctrlProp61.xml><?xml version="1.0" encoding="utf-8"?>
<formControlPr xmlns="http://schemas.microsoft.com/office/spreadsheetml/2009/9/main" objectType="Button" lockText="1"/>
</file>

<file path=xl/ctrlProps/ctrlProp62.xml><?xml version="1.0" encoding="utf-8"?>
<formControlPr xmlns="http://schemas.microsoft.com/office/spreadsheetml/2009/9/main" objectType="Button" lockText="1"/>
</file>

<file path=xl/ctrlProps/ctrlProp63.xml><?xml version="1.0" encoding="utf-8"?>
<formControlPr xmlns="http://schemas.microsoft.com/office/spreadsheetml/2009/9/main" objectType="Button" lockText="1"/>
</file>

<file path=xl/ctrlProps/ctrlProp64.xml><?xml version="1.0" encoding="utf-8"?>
<formControlPr xmlns="http://schemas.microsoft.com/office/spreadsheetml/2009/9/main" objectType="Button" lockText="1"/>
</file>

<file path=xl/ctrlProps/ctrlProp65.xml><?xml version="1.0" encoding="utf-8"?>
<formControlPr xmlns="http://schemas.microsoft.com/office/spreadsheetml/2009/9/main" objectType="Button" lockText="1"/>
</file>

<file path=xl/ctrlProps/ctrlProp66.xml><?xml version="1.0" encoding="utf-8"?>
<formControlPr xmlns="http://schemas.microsoft.com/office/spreadsheetml/2009/9/main" objectType="Button" lockText="1"/>
</file>

<file path=xl/ctrlProps/ctrlProp67.xml><?xml version="1.0" encoding="utf-8"?>
<formControlPr xmlns="http://schemas.microsoft.com/office/spreadsheetml/2009/9/main" objectType="Button" lockText="1"/>
</file>

<file path=xl/ctrlProps/ctrlProp68.xml><?xml version="1.0" encoding="utf-8"?>
<formControlPr xmlns="http://schemas.microsoft.com/office/spreadsheetml/2009/9/main" objectType="Button" lockText="1"/>
</file>

<file path=xl/ctrlProps/ctrlProp69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70.xml><?xml version="1.0" encoding="utf-8"?>
<formControlPr xmlns="http://schemas.microsoft.com/office/spreadsheetml/2009/9/main" objectType="Button" lockText="1"/>
</file>

<file path=xl/ctrlProps/ctrlProp71.xml><?xml version="1.0" encoding="utf-8"?>
<formControlPr xmlns="http://schemas.microsoft.com/office/spreadsheetml/2009/9/main" objectType="Button" lockText="1"/>
</file>

<file path=xl/ctrlProps/ctrlProp72.xml><?xml version="1.0" encoding="utf-8"?>
<formControlPr xmlns="http://schemas.microsoft.com/office/spreadsheetml/2009/9/main" objectType="Button" lockText="1"/>
</file>

<file path=xl/ctrlProps/ctrlProp73.xml><?xml version="1.0" encoding="utf-8"?>
<formControlPr xmlns="http://schemas.microsoft.com/office/spreadsheetml/2009/9/main" objectType="Button" lockText="1"/>
</file>

<file path=xl/ctrlProps/ctrlProp74.xml><?xml version="1.0" encoding="utf-8"?>
<formControlPr xmlns="http://schemas.microsoft.com/office/spreadsheetml/2009/9/main" objectType="Button" lockText="1"/>
</file>

<file path=xl/ctrlProps/ctrlProp75.xml><?xml version="1.0" encoding="utf-8"?>
<formControlPr xmlns="http://schemas.microsoft.com/office/spreadsheetml/2009/9/main" objectType="Button" lockText="1"/>
</file>

<file path=xl/ctrlProps/ctrlProp76.xml><?xml version="1.0" encoding="utf-8"?>
<formControlPr xmlns="http://schemas.microsoft.com/office/spreadsheetml/2009/9/main" objectType="Button" lockText="1"/>
</file>

<file path=xl/ctrlProps/ctrlProp77.xml><?xml version="1.0" encoding="utf-8"?>
<formControlPr xmlns="http://schemas.microsoft.com/office/spreadsheetml/2009/9/main" objectType="Button" lockText="1"/>
</file>

<file path=xl/ctrlProps/ctrlProp78.xml><?xml version="1.0" encoding="utf-8"?>
<formControlPr xmlns="http://schemas.microsoft.com/office/spreadsheetml/2009/9/main" objectType="Button" lockText="1"/>
</file>

<file path=xl/ctrlProps/ctrlProp79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ctrlProps/ctrlProp80.xml><?xml version="1.0" encoding="utf-8"?>
<formControlPr xmlns="http://schemas.microsoft.com/office/spreadsheetml/2009/9/main" objectType="Button" lockText="1"/>
</file>

<file path=xl/ctrlProps/ctrlProp81.xml><?xml version="1.0" encoding="utf-8"?>
<formControlPr xmlns="http://schemas.microsoft.com/office/spreadsheetml/2009/9/main" objectType="Button" lockText="1"/>
</file>

<file path=xl/ctrlProps/ctrlProp82.xml><?xml version="1.0" encoding="utf-8"?>
<formControlPr xmlns="http://schemas.microsoft.com/office/spreadsheetml/2009/9/main" objectType="Button" lockText="1"/>
</file>

<file path=xl/ctrlProps/ctrlProp83.xml><?xml version="1.0" encoding="utf-8"?>
<formControlPr xmlns="http://schemas.microsoft.com/office/spreadsheetml/2009/9/main" objectType="Button" lockText="1"/>
</file>

<file path=xl/ctrlProps/ctrlProp84.xml><?xml version="1.0" encoding="utf-8"?>
<formControlPr xmlns="http://schemas.microsoft.com/office/spreadsheetml/2009/9/main" objectType="Button" lockText="1"/>
</file>

<file path=xl/ctrlProps/ctrlProp85.xml><?xml version="1.0" encoding="utf-8"?>
<formControlPr xmlns="http://schemas.microsoft.com/office/spreadsheetml/2009/9/main" objectType="Button" lockText="1"/>
</file>

<file path=xl/ctrlProps/ctrlProp86.xml><?xml version="1.0" encoding="utf-8"?>
<formControlPr xmlns="http://schemas.microsoft.com/office/spreadsheetml/2009/9/main" objectType="Button" lockText="1"/>
</file>

<file path=xl/ctrlProps/ctrlProp87.xml><?xml version="1.0" encoding="utf-8"?>
<formControlPr xmlns="http://schemas.microsoft.com/office/spreadsheetml/2009/9/main" objectType="Button" lockText="1"/>
</file>

<file path=xl/ctrlProps/ctrlProp88.xml><?xml version="1.0" encoding="utf-8"?>
<formControlPr xmlns="http://schemas.microsoft.com/office/spreadsheetml/2009/9/main" objectType="Button" lockText="1"/>
</file>

<file path=xl/ctrlProps/ctrlProp89.xml><?xml version="1.0" encoding="utf-8"?>
<formControlPr xmlns="http://schemas.microsoft.com/office/spreadsheetml/2009/9/main" objectType="Button" lockText="1"/>
</file>

<file path=xl/ctrlProps/ctrlProp9.xml><?xml version="1.0" encoding="utf-8"?>
<formControlPr xmlns="http://schemas.microsoft.com/office/spreadsheetml/2009/9/main" objectType="Button" lockText="1"/>
</file>

<file path=xl/ctrlProps/ctrlProp90.xml><?xml version="1.0" encoding="utf-8"?>
<formControlPr xmlns="http://schemas.microsoft.com/office/spreadsheetml/2009/9/main" objectType="Button" lockText="1"/>
</file>

<file path=xl/ctrlProps/ctrlProp91.xml><?xml version="1.0" encoding="utf-8"?>
<formControlPr xmlns="http://schemas.microsoft.com/office/spreadsheetml/2009/9/main" objectType="Button" lockText="1"/>
</file>

<file path=xl/ctrlProps/ctrlProp92.xml><?xml version="1.0" encoding="utf-8"?>
<formControlPr xmlns="http://schemas.microsoft.com/office/spreadsheetml/2009/9/main" objectType="Button" lockText="1"/>
</file>

<file path=xl/ctrlProps/ctrlProp93.xml><?xml version="1.0" encoding="utf-8"?>
<formControlPr xmlns="http://schemas.microsoft.com/office/spreadsheetml/2009/9/main" objectType="Button" lockText="1"/>
</file>

<file path=xl/ctrlProps/ctrlProp94.xml><?xml version="1.0" encoding="utf-8"?>
<formControlPr xmlns="http://schemas.microsoft.com/office/spreadsheetml/2009/9/main" objectType="Button" lockText="1"/>
</file>

<file path=xl/ctrlProps/ctrlProp95.xml><?xml version="1.0" encoding="utf-8"?>
<formControlPr xmlns="http://schemas.microsoft.com/office/spreadsheetml/2009/9/main" objectType="Button" lockText="1"/>
</file>

<file path=xl/ctrlProps/ctrlProp96.xml><?xml version="1.0" encoding="utf-8"?>
<formControlPr xmlns="http://schemas.microsoft.com/office/spreadsheetml/2009/9/main" objectType="Button" lockText="1"/>
</file>

<file path=xl/ctrlProps/ctrlProp97.xml><?xml version="1.0" encoding="utf-8"?>
<formControlPr xmlns="http://schemas.microsoft.com/office/spreadsheetml/2009/9/main" objectType="Button" lockText="1"/>
</file>

<file path=xl/ctrlProps/ctrlProp98.xml><?xml version="1.0" encoding="utf-8"?>
<formControlPr xmlns="http://schemas.microsoft.com/office/spreadsheetml/2009/9/main" objectType="Button" lockText="1"/>
</file>

<file path=xl/ctrlProps/ctrlProp99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9.xml"/><Relationship Id="rId3" Type="http://schemas.openxmlformats.org/officeDocument/2006/relationships/chart" Target="../charts/chart34.xml"/><Relationship Id="rId7" Type="http://schemas.openxmlformats.org/officeDocument/2006/relationships/chart" Target="../charts/chart38.xml"/><Relationship Id="rId2" Type="http://schemas.openxmlformats.org/officeDocument/2006/relationships/chart" Target="../charts/chart33.xml"/><Relationship Id="rId1" Type="http://schemas.openxmlformats.org/officeDocument/2006/relationships/chart" Target="../charts/chart32.xml"/><Relationship Id="rId6" Type="http://schemas.openxmlformats.org/officeDocument/2006/relationships/chart" Target="../charts/chart37.xml"/><Relationship Id="rId11" Type="http://schemas.openxmlformats.org/officeDocument/2006/relationships/chart" Target="../charts/chart42.xml"/><Relationship Id="rId5" Type="http://schemas.openxmlformats.org/officeDocument/2006/relationships/chart" Target="../charts/chart36.xml"/><Relationship Id="rId10" Type="http://schemas.openxmlformats.org/officeDocument/2006/relationships/chart" Target="../charts/chart41.xml"/><Relationship Id="rId4" Type="http://schemas.openxmlformats.org/officeDocument/2006/relationships/chart" Target="../charts/chart35.xml"/><Relationship Id="rId9" Type="http://schemas.openxmlformats.org/officeDocument/2006/relationships/chart" Target="../charts/chart40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4.xml"/><Relationship Id="rId3" Type="http://schemas.openxmlformats.org/officeDocument/2006/relationships/chart" Target="../charts/chart19.xml"/><Relationship Id="rId7" Type="http://schemas.openxmlformats.org/officeDocument/2006/relationships/chart" Target="../charts/chart23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6" Type="http://schemas.openxmlformats.org/officeDocument/2006/relationships/chart" Target="../charts/chart22.xml"/><Relationship Id="rId5" Type="http://schemas.openxmlformats.org/officeDocument/2006/relationships/chart" Target="../charts/chart21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5" Type="http://schemas.openxmlformats.org/officeDocument/2006/relationships/chart" Target="../charts/chart29.xml"/><Relationship Id="rId4" Type="http://schemas.openxmlformats.org/officeDocument/2006/relationships/chart" Target="../charts/chart28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369000</xdr:colOff>
      <xdr:row>0</xdr:row>
      <xdr:rowOff>92880</xdr:rowOff>
    </xdr:from>
    <xdr:to>
      <xdr:col>1</xdr:col>
      <xdr:colOff>782640</xdr:colOff>
      <xdr:row>5</xdr:row>
      <xdr:rowOff>205200</xdr:rowOff>
    </xdr:to>
    <xdr:pic>
      <xdr:nvPicPr>
        <xdr:cNvPr id="2" name="Picture 4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69000" y="92880"/>
          <a:ext cx="1226520" cy="105732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oneCell">
    <xdr:from>
      <xdr:col>10</xdr:col>
      <xdr:colOff>792720</xdr:colOff>
      <xdr:row>1</xdr:row>
      <xdr:rowOff>74160</xdr:rowOff>
    </xdr:from>
    <xdr:to>
      <xdr:col>12</xdr:col>
      <xdr:colOff>215280</xdr:colOff>
      <xdr:row>4</xdr:row>
      <xdr:rowOff>149400</xdr:rowOff>
    </xdr:to>
    <xdr:pic>
      <xdr:nvPicPr>
        <xdr:cNvPr id="3" name="Picture 4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8920800" y="260280"/>
          <a:ext cx="1047960" cy="64800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oneCell">
    <xdr:from>
      <xdr:col>4</xdr:col>
      <xdr:colOff>278280</xdr:colOff>
      <xdr:row>6</xdr:row>
      <xdr:rowOff>9360</xdr:rowOff>
    </xdr:from>
    <xdr:to>
      <xdr:col>8</xdr:col>
      <xdr:colOff>699120</xdr:colOff>
      <xdr:row>17</xdr:row>
      <xdr:rowOff>153360</xdr:rowOff>
    </xdr:to>
    <xdr:pic>
      <xdr:nvPicPr>
        <xdr:cNvPr id="4" name="Picture 5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3529440" y="1199880"/>
          <a:ext cx="3672000" cy="219060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43200</xdr:colOff>
      <xdr:row>197</xdr:row>
      <xdr:rowOff>46440</xdr:rowOff>
    </xdr:from>
    <xdr:to>
      <xdr:col>10</xdr:col>
      <xdr:colOff>42120</xdr:colOff>
      <xdr:row>211</xdr:row>
      <xdr:rowOff>13320</xdr:rowOff>
    </xdr:to>
    <xdr:graphicFrame macro="">
      <xdr:nvGraphicFramePr>
        <xdr:cNvPr id="16" name="Chart 112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428625</xdr:colOff>
          <xdr:row>56</xdr:row>
          <xdr:rowOff>142875</xdr:rowOff>
        </xdr:from>
        <xdr:to>
          <xdr:col>8</xdr:col>
          <xdr:colOff>304800</xdr:colOff>
          <xdr:row>57</xdr:row>
          <xdr:rowOff>180975</xdr:rowOff>
        </xdr:to>
        <xdr:sp macro="" textlink="">
          <xdr:nvSpPr>
            <xdr:cNvPr id="4099" name="Button 117" descr="Button 117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3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117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57150</xdr:colOff>
          <xdr:row>54</xdr:row>
          <xdr:rowOff>123825</xdr:rowOff>
        </xdr:from>
        <xdr:to>
          <xdr:col>9</xdr:col>
          <xdr:colOff>-66675</xdr:colOff>
          <xdr:row>55</xdr:row>
          <xdr:rowOff>161925</xdr:rowOff>
        </xdr:to>
        <xdr:sp macro="" textlink="">
          <xdr:nvSpPr>
            <xdr:cNvPr id="4100" name="Button 118" descr="Button 118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3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118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4</xdr:col>
      <xdr:colOff>565920</xdr:colOff>
      <xdr:row>171</xdr:row>
      <xdr:rowOff>111960</xdr:rowOff>
    </xdr:from>
    <xdr:to>
      <xdr:col>10</xdr:col>
      <xdr:colOff>555480</xdr:colOff>
      <xdr:row>186</xdr:row>
      <xdr:rowOff>131040</xdr:rowOff>
    </xdr:to>
    <xdr:graphicFrame macro="">
      <xdr:nvGraphicFramePr>
        <xdr:cNvPr id="17" name="Chart 11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26</xdr:col>
      <xdr:colOff>799920</xdr:colOff>
      <xdr:row>36</xdr:row>
      <xdr:rowOff>22680</xdr:rowOff>
    </xdr:from>
    <xdr:to>
      <xdr:col>33</xdr:col>
      <xdr:colOff>138960</xdr:colOff>
      <xdr:row>50</xdr:row>
      <xdr:rowOff>87840</xdr:rowOff>
    </xdr:to>
    <xdr:graphicFrame macro="">
      <xdr:nvGraphicFramePr>
        <xdr:cNvPr id="18" name="Chart 108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27</xdr:col>
      <xdr:colOff>609480</xdr:colOff>
      <xdr:row>20</xdr:row>
      <xdr:rowOff>86040</xdr:rowOff>
    </xdr:from>
    <xdr:to>
      <xdr:col>33</xdr:col>
      <xdr:colOff>507240</xdr:colOff>
      <xdr:row>34</xdr:row>
      <xdr:rowOff>197640</xdr:rowOff>
    </xdr:to>
    <xdr:graphicFrame macro="">
      <xdr:nvGraphicFramePr>
        <xdr:cNvPr id="19" name="Chart 109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27</xdr:col>
      <xdr:colOff>177480</xdr:colOff>
      <xdr:row>55</xdr:row>
      <xdr:rowOff>133560</xdr:rowOff>
    </xdr:from>
    <xdr:to>
      <xdr:col>33</xdr:col>
      <xdr:colOff>75600</xdr:colOff>
      <xdr:row>69</xdr:row>
      <xdr:rowOff>105840</xdr:rowOff>
    </xdr:to>
    <xdr:graphicFrame macro="">
      <xdr:nvGraphicFramePr>
        <xdr:cNvPr id="20" name="Chart 110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69</xdr:col>
      <xdr:colOff>469440</xdr:colOff>
      <xdr:row>77</xdr:row>
      <xdr:rowOff>79920</xdr:rowOff>
    </xdr:from>
    <xdr:to>
      <xdr:col>74</xdr:col>
      <xdr:colOff>808560</xdr:colOff>
      <xdr:row>91</xdr:row>
      <xdr:rowOff>119520</xdr:rowOff>
    </xdr:to>
    <xdr:graphicFrame macro="">
      <xdr:nvGraphicFramePr>
        <xdr:cNvPr id="21" name="Chart 12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63</xdr:col>
      <xdr:colOff>545760</xdr:colOff>
      <xdr:row>79</xdr:row>
      <xdr:rowOff>0</xdr:rowOff>
    </xdr:from>
    <xdr:to>
      <xdr:col>65</xdr:col>
      <xdr:colOff>65160</xdr:colOff>
      <xdr:row>80</xdr:row>
      <xdr:rowOff>9720</xdr:rowOff>
    </xdr:to>
    <xdr:sp macro="" textlink="">
      <xdr:nvSpPr>
        <xdr:cNvPr id="22" name="Text 13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/>
      </xdr:nvSpPr>
      <xdr:spPr>
        <a:xfrm>
          <a:off x="51752160" y="16463160"/>
          <a:ext cx="1145160" cy="1954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 anchor="t">
          <a:spAutoFit/>
        </a:bodyPr>
        <a:lstStyle/>
        <a:p>
          <a:r>
            <a:rPr lang="en-GB" sz="1100" b="0" u="none" strike="noStrike">
              <a:effectLst/>
              <a:uFillTx/>
              <a:latin typeface="Times New Roman"/>
            </a:rPr>
            <a:t>Top of Reservoir</a:t>
          </a:r>
        </a:p>
      </xdr:txBody>
    </xdr:sp>
    <xdr:clientData/>
  </xdr:twoCellAnchor>
  <xdr:twoCellAnchor editAs="oneCell">
    <xdr:from>
      <xdr:col>45</xdr:col>
      <xdr:colOff>190440</xdr:colOff>
      <xdr:row>70</xdr:row>
      <xdr:rowOff>47520</xdr:rowOff>
    </xdr:from>
    <xdr:to>
      <xdr:col>49</xdr:col>
      <xdr:colOff>618120</xdr:colOff>
      <xdr:row>80</xdr:row>
      <xdr:rowOff>49320</xdr:rowOff>
    </xdr:to>
    <xdr:graphicFrame macro="">
      <xdr:nvGraphicFramePr>
        <xdr:cNvPr id="23" name="Chart 14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71</xdr:col>
      <xdr:colOff>152280</xdr:colOff>
      <xdr:row>3</xdr:row>
      <xdr:rowOff>18720</xdr:rowOff>
    </xdr:from>
    <xdr:to>
      <xdr:col>75</xdr:col>
      <xdr:colOff>198720</xdr:colOff>
      <xdr:row>14</xdr:row>
      <xdr:rowOff>57960</xdr:rowOff>
    </xdr:to>
    <xdr:graphicFrame macro="">
      <xdr:nvGraphicFramePr>
        <xdr:cNvPr id="24" name="Chart 15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66</xdr:col>
      <xdr:colOff>304920</xdr:colOff>
      <xdr:row>59</xdr:row>
      <xdr:rowOff>95400</xdr:rowOff>
    </xdr:from>
    <xdr:to>
      <xdr:col>70</xdr:col>
      <xdr:colOff>732600</xdr:colOff>
      <xdr:row>70</xdr:row>
      <xdr:rowOff>173880</xdr:rowOff>
    </xdr:to>
    <xdr:graphicFrame macro="">
      <xdr:nvGraphicFramePr>
        <xdr:cNvPr id="25" name="Chart 16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76</xdr:col>
      <xdr:colOff>698400</xdr:colOff>
      <xdr:row>14</xdr:row>
      <xdr:rowOff>178560</xdr:rowOff>
    </xdr:from>
    <xdr:to>
      <xdr:col>83</xdr:col>
      <xdr:colOff>37800</xdr:colOff>
      <xdr:row>27</xdr:row>
      <xdr:rowOff>32760</xdr:rowOff>
    </xdr:to>
    <xdr:graphicFrame macro="">
      <xdr:nvGraphicFramePr>
        <xdr:cNvPr id="26" name="Chart 17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 editAs="oneCell">
    <xdr:from>
      <xdr:col>43</xdr:col>
      <xdr:colOff>675360</xdr:colOff>
      <xdr:row>72</xdr:row>
      <xdr:rowOff>97560</xdr:rowOff>
    </xdr:from>
    <xdr:to>
      <xdr:col>48</xdr:col>
      <xdr:colOff>253440</xdr:colOff>
      <xdr:row>82</xdr:row>
      <xdr:rowOff>79200</xdr:rowOff>
    </xdr:to>
    <xdr:graphicFrame macro="">
      <xdr:nvGraphicFramePr>
        <xdr:cNvPr id="27" name="Chart 18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428625</xdr:colOff>
          <xdr:row>56</xdr:row>
          <xdr:rowOff>142875</xdr:rowOff>
        </xdr:from>
        <xdr:to>
          <xdr:col>8</xdr:col>
          <xdr:colOff>304800</xdr:colOff>
          <xdr:row>57</xdr:row>
          <xdr:rowOff>180975</xdr:rowOff>
        </xdr:to>
        <xdr:sp macro="" textlink="">
          <xdr:nvSpPr>
            <xdr:cNvPr id="4098" name="Button 117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3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54</xdr:row>
          <xdr:rowOff>123825</xdr:rowOff>
        </xdr:from>
        <xdr:to>
          <xdr:col>9</xdr:col>
          <xdr:colOff>66675</xdr:colOff>
          <xdr:row>55</xdr:row>
          <xdr:rowOff>161925</xdr:rowOff>
        </xdr:to>
        <xdr:sp macro="" textlink="">
          <xdr:nvSpPr>
            <xdr:cNvPr id="4097" name="Button 118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118</a:t>
              </a:r>
            </a:p>
          </xdr:txBody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762120</xdr:colOff>
      <xdr:row>18</xdr:row>
      <xdr:rowOff>18720</xdr:rowOff>
    </xdr:from>
    <xdr:to>
      <xdr:col>31</xdr:col>
      <xdr:colOff>393120</xdr:colOff>
      <xdr:row>34</xdr:row>
      <xdr:rowOff>123480</xdr:rowOff>
    </xdr:to>
    <xdr:graphicFrame macro="">
      <xdr:nvGraphicFramePr>
        <xdr:cNvPr id="28" name="Chart 1053">
          <a:extLst>
            <a:ext uri="{FF2B5EF4-FFF2-40B4-BE49-F238E27FC236}">
              <a16:creationId xmlns:a16="http://schemas.microsoft.com/office/drawing/2014/main" id="{00000000-0008-0000-0400-00001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85725</xdr:colOff>
          <xdr:row>1</xdr:row>
          <xdr:rowOff>123825</xdr:rowOff>
        </xdr:from>
        <xdr:to>
          <xdr:col>27</xdr:col>
          <xdr:colOff>647700</xdr:colOff>
          <xdr:row>4</xdr:row>
          <xdr:rowOff>123825</xdr:rowOff>
        </xdr:to>
        <xdr:sp macro="" textlink="">
          <xdr:nvSpPr>
            <xdr:cNvPr id="5122" name="Button 1054" descr="Button 1054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4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1054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40</xdr:col>
      <xdr:colOff>345240</xdr:colOff>
      <xdr:row>69</xdr:row>
      <xdr:rowOff>111600</xdr:rowOff>
    </xdr:from>
    <xdr:to>
      <xdr:col>44</xdr:col>
      <xdr:colOff>781560</xdr:colOff>
      <xdr:row>79</xdr:row>
      <xdr:rowOff>92520</xdr:rowOff>
    </xdr:to>
    <xdr:graphicFrame macro="">
      <xdr:nvGraphicFramePr>
        <xdr:cNvPr id="29" name="Chart 10">
          <a:extLst>
            <a:ext uri="{FF2B5EF4-FFF2-40B4-BE49-F238E27FC236}">
              <a16:creationId xmlns:a16="http://schemas.microsoft.com/office/drawing/2014/main" id="{00000000-0008-0000-0400-00001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25</xdr:col>
      <xdr:colOff>558360</xdr:colOff>
      <xdr:row>35</xdr:row>
      <xdr:rowOff>57240</xdr:rowOff>
    </xdr:from>
    <xdr:to>
      <xdr:col>32</xdr:col>
      <xdr:colOff>54360</xdr:colOff>
      <xdr:row>48</xdr:row>
      <xdr:rowOff>87120</xdr:rowOff>
    </xdr:to>
    <xdr:graphicFrame macro="">
      <xdr:nvGraphicFramePr>
        <xdr:cNvPr id="30" name="Chart 13">
          <a:extLst>
            <a:ext uri="{FF2B5EF4-FFF2-40B4-BE49-F238E27FC236}">
              <a16:creationId xmlns:a16="http://schemas.microsoft.com/office/drawing/2014/main" id="{00000000-0008-0000-0400-00001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85725</xdr:colOff>
          <xdr:row>1</xdr:row>
          <xdr:rowOff>123825</xdr:rowOff>
        </xdr:from>
        <xdr:to>
          <xdr:col>27</xdr:col>
          <xdr:colOff>647700</xdr:colOff>
          <xdr:row>4</xdr:row>
          <xdr:rowOff>123825</xdr:rowOff>
        </xdr:to>
        <xdr:sp macro="" textlink="">
          <xdr:nvSpPr>
            <xdr:cNvPr id="5121" name="Button 1054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4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1054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0</xdr:rowOff>
    </xdr:from>
    <xdr:to>
      <xdr:col>8</xdr:col>
      <xdr:colOff>93960</xdr:colOff>
      <xdr:row>17</xdr:row>
      <xdr:rowOff>66600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15</xdr:row>
          <xdr:rowOff>47625</xdr:rowOff>
        </xdr:from>
        <xdr:to>
          <xdr:col>6</xdr:col>
          <xdr:colOff>361950</xdr:colOff>
          <xdr:row>18</xdr:row>
          <xdr:rowOff>104775</xdr:rowOff>
        </xdr:to>
        <xdr:sp macro="" textlink="">
          <xdr:nvSpPr>
            <xdr:cNvPr id="1001" name="Button 2" hidden="1">
              <a:extLst>
                <a:ext uri="{63B3BB69-23CF-44E3-9099-C40C66FF867C}">
                  <a14:compatExt spid="_x0000_s1001"/>
                </a:ext>
                <a:ext uri="{FF2B5EF4-FFF2-40B4-BE49-F238E27FC236}">
                  <a16:creationId xmlns:a16="http://schemas.microsoft.com/office/drawing/2014/main" id="{00000000-0008-0000-0100-0000E90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2</xdr:col>
      <xdr:colOff>177840</xdr:colOff>
      <xdr:row>25</xdr:row>
      <xdr:rowOff>7920</xdr:rowOff>
    </xdr:from>
    <xdr:to>
      <xdr:col>8</xdr:col>
      <xdr:colOff>66240</xdr:colOff>
      <xdr:row>41</xdr:row>
      <xdr:rowOff>45000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39</xdr:row>
          <xdr:rowOff>57150</xdr:rowOff>
        </xdr:from>
        <xdr:to>
          <xdr:col>6</xdr:col>
          <xdr:colOff>485775</xdr:colOff>
          <xdr:row>43</xdr:row>
          <xdr:rowOff>9525</xdr:rowOff>
        </xdr:to>
        <xdr:sp macro="" textlink="">
          <xdr:nvSpPr>
            <xdr:cNvPr id="1002" name="Button 4" hidden="1">
              <a:extLst>
                <a:ext uri="{63B3BB69-23CF-44E3-9099-C40C66FF867C}">
                  <a14:compatExt spid="_x0000_s1002"/>
                </a:ext>
                <a:ext uri="{FF2B5EF4-FFF2-40B4-BE49-F238E27FC236}">
                  <a16:creationId xmlns:a16="http://schemas.microsoft.com/office/drawing/2014/main" id="{00000000-0008-0000-0100-0000EA0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2</xdr:col>
      <xdr:colOff>114120</xdr:colOff>
      <xdr:row>47</xdr:row>
      <xdr:rowOff>23760</xdr:rowOff>
    </xdr:from>
    <xdr:to>
      <xdr:col>8</xdr:col>
      <xdr:colOff>21960</xdr:colOff>
      <xdr:row>63</xdr:row>
      <xdr:rowOff>147240</xdr:rowOff>
    </xdr:to>
    <xdr:graphicFrame macro="">
      <xdr:nvGraphicFramePr>
        <xdr:cNvPr id="5" name="Chart 5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61</xdr:row>
          <xdr:rowOff>142875</xdr:rowOff>
        </xdr:from>
        <xdr:to>
          <xdr:col>6</xdr:col>
          <xdr:colOff>466725</xdr:colOff>
          <xdr:row>65</xdr:row>
          <xdr:rowOff>66675</xdr:rowOff>
        </xdr:to>
        <xdr:sp macro="" textlink="">
          <xdr:nvSpPr>
            <xdr:cNvPr id="1003" name="Button 6" hidden="1">
              <a:extLst>
                <a:ext uri="{63B3BB69-23CF-44E3-9099-C40C66FF867C}">
                  <a14:compatExt spid="_x0000_s1003"/>
                </a:ext>
                <a:ext uri="{FF2B5EF4-FFF2-40B4-BE49-F238E27FC236}">
                  <a16:creationId xmlns:a16="http://schemas.microsoft.com/office/drawing/2014/main" id="{00000000-0008-0000-0100-0000EB0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2</xdr:col>
      <xdr:colOff>63360</xdr:colOff>
      <xdr:row>71</xdr:row>
      <xdr:rowOff>16200</xdr:rowOff>
    </xdr:from>
    <xdr:to>
      <xdr:col>8</xdr:col>
      <xdr:colOff>118080</xdr:colOff>
      <xdr:row>88</xdr:row>
      <xdr:rowOff>23760</xdr:rowOff>
    </xdr:to>
    <xdr:graphicFrame macro="">
      <xdr:nvGraphicFramePr>
        <xdr:cNvPr id="6" name="Chart 7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409575</xdr:colOff>
          <xdr:row>85</xdr:row>
          <xdr:rowOff>152400</xdr:rowOff>
        </xdr:from>
        <xdr:to>
          <xdr:col>6</xdr:col>
          <xdr:colOff>790575</xdr:colOff>
          <xdr:row>89</xdr:row>
          <xdr:rowOff>66675</xdr:rowOff>
        </xdr:to>
        <xdr:sp macro="" textlink="">
          <xdr:nvSpPr>
            <xdr:cNvPr id="1004" name="Button 8" hidden="1">
              <a:extLst>
                <a:ext uri="{63B3BB69-23CF-44E3-9099-C40C66FF867C}">
                  <a14:compatExt spid="_x0000_s1004"/>
                </a:ext>
                <a:ext uri="{FF2B5EF4-FFF2-40B4-BE49-F238E27FC236}">
                  <a16:creationId xmlns:a16="http://schemas.microsoft.com/office/drawing/2014/main" id="{00000000-0008-0000-0100-0000EC0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787320</xdr:colOff>
      <xdr:row>1</xdr:row>
      <xdr:rowOff>0</xdr:rowOff>
    </xdr:from>
    <xdr:to>
      <xdr:col>8</xdr:col>
      <xdr:colOff>743040</xdr:colOff>
      <xdr:row>19</xdr:row>
      <xdr:rowOff>36360</xdr:rowOff>
    </xdr:to>
    <xdr:graphicFrame macro="">
      <xdr:nvGraphicFramePr>
        <xdr:cNvPr id="47" name="Chart 21">
          <a:extLst>
            <a:ext uri="{FF2B5EF4-FFF2-40B4-BE49-F238E27FC236}">
              <a16:creationId xmlns:a16="http://schemas.microsoft.com/office/drawing/2014/main" id="{00000000-0008-0000-0A00-00002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371475</xdr:colOff>
          <xdr:row>17</xdr:row>
          <xdr:rowOff>9525</xdr:rowOff>
        </xdr:from>
        <xdr:to>
          <xdr:col>6</xdr:col>
          <xdr:colOff>685800</xdr:colOff>
          <xdr:row>20</xdr:row>
          <xdr:rowOff>76200</xdr:rowOff>
        </xdr:to>
        <xdr:sp macro="" textlink="">
          <xdr:nvSpPr>
            <xdr:cNvPr id="10245" name="Button 2" descr="OK" hidden="1">
              <a:extLst>
                <a:ext uri="{63B3BB69-23CF-44E3-9099-C40C66FF867C}">
                  <a14:compatExt spid="_x0000_s10245"/>
                </a:ext>
                <a:ext uri="{FF2B5EF4-FFF2-40B4-BE49-F238E27FC236}">
                  <a16:creationId xmlns:a16="http://schemas.microsoft.com/office/drawing/2014/main" id="{00000000-0008-0000-0A00-000005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2</xdr:col>
      <xdr:colOff>50760</xdr:colOff>
      <xdr:row>23</xdr:row>
      <xdr:rowOff>0</xdr:rowOff>
    </xdr:from>
    <xdr:to>
      <xdr:col>8</xdr:col>
      <xdr:colOff>731520</xdr:colOff>
      <xdr:row>41</xdr:row>
      <xdr:rowOff>26640</xdr:rowOff>
    </xdr:to>
    <xdr:graphicFrame macro="">
      <xdr:nvGraphicFramePr>
        <xdr:cNvPr id="48" name="Chart 22">
          <a:extLst>
            <a:ext uri="{FF2B5EF4-FFF2-40B4-BE49-F238E27FC236}">
              <a16:creationId xmlns:a16="http://schemas.microsoft.com/office/drawing/2014/main" id="{00000000-0008-0000-0A00-00003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561975</xdr:colOff>
          <xdr:row>38</xdr:row>
          <xdr:rowOff>133350</xdr:rowOff>
        </xdr:from>
        <xdr:to>
          <xdr:col>6</xdr:col>
          <xdr:colOff>800100</xdr:colOff>
          <xdr:row>42</xdr:row>
          <xdr:rowOff>57150</xdr:rowOff>
        </xdr:to>
        <xdr:sp macro="" textlink="">
          <xdr:nvSpPr>
            <xdr:cNvPr id="10246" name="Button 4" descr="OK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0A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1</xdr:col>
      <xdr:colOff>75960</xdr:colOff>
      <xdr:row>44</xdr:row>
      <xdr:rowOff>113760</xdr:rowOff>
    </xdr:from>
    <xdr:to>
      <xdr:col>7</xdr:col>
      <xdr:colOff>756720</xdr:colOff>
      <xdr:row>65</xdr:row>
      <xdr:rowOff>91080</xdr:rowOff>
    </xdr:to>
    <xdr:graphicFrame macro="">
      <xdr:nvGraphicFramePr>
        <xdr:cNvPr id="49" name="Chart 23">
          <a:extLst>
            <a:ext uri="{FF2B5EF4-FFF2-40B4-BE49-F238E27FC236}">
              <a16:creationId xmlns:a16="http://schemas.microsoft.com/office/drawing/2014/main" id="{00000000-0008-0000-0A00-00003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62</xdr:row>
          <xdr:rowOff>142875</xdr:rowOff>
        </xdr:from>
        <xdr:to>
          <xdr:col>5</xdr:col>
          <xdr:colOff>666750</xdr:colOff>
          <xdr:row>66</xdr:row>
          <xdr:rowOff>66675</xdr:rowOff>
        </xdr:to>
        <xdr:sp macro="" textlink="">
          <xdr:nvSpPr>
            <xdr:cNvPr id="10247" name="Button 6" descr="OK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0A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1</xdr:col>
      <xdr:colOff>114480</xdr:colOff>
      <xdr:row>70</xdr:row>
      <xdr:rowOff>23760</xdr:rowOff>
    </xdr:from>
    <xdr:to>
      <xdr:col>7</xdr:col>
      <xdr:colOff>765720</xdr:colOff>
      <xdr:row>90</xdr:row>
      <xdr:rowOff>50040</xdr:rowOff>
    </xdr:to>
    <xdr:graphicFrame macro="">
      <xdr:nvGraphicFramePr>
        <xdr:cNvPr id="50" name="Chart 24">
          <a:extLst>
            <a:ext uri="{FF2B5EF4-FFF2-40B4-BE49-F238E27FC236}">
              <a16:creationId xmlns:a16="http://schemas.microsoft.com/office/drawing/2014/main" id="{00000000-0008-0000-0A00-00003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87</xdr:row>
          <xdr:rowOff>123825</xdr:rowOff>
        </xdr:from>
        <xdr:to>
          <xdr:col>6</xdr:col>
          <xdr:colOff>381000</xdr:colOff>
          <xdr:row>91</xdr:row>
          <xdr:rowOff>38100</xdr:rowOff>
        </xdr:to>
        <xdr:sp macro="" textlink="">
          <xdr:nvSpPr>
            <xdr:cNvPr id="10248" name="Button 8" descr="OK" hidden="1">
              <a:extLst>
                <a:ext uri="{63B3BB69-23CF-44E3-9099-C40C66FF867C}">
                  <a14:compatExt spid="_x0000_s10248"/>
                </a:ext>
                <a:ext uri="{FF2B5EF4-FFF2-40B4-BE49-F238E27FC236}">
                  <a16:creationId xmlns:a16="http://schemas.microsoft.com/office/drawing/2014/main" id="{00000000-0008-0000-0A00-000008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371475</xdr:colOff>
          <xdr:row>17</xdr:row>
          <xdr:rowOff>9525</xdr:rowOff>
        </xdr:from>
        <xdr:to>
          <xdr:col>6</xdr:col>
          <xdr:colOff>685800</xdr:colOff>
          <xdr:row>20</xdr:row>
          <xdr:rowOff>76200</xdr:rowOff>
        </xdr:to>
        <xdr:sp macro="" textlink="">
          <xdr:nvSpPr>
            <xdr:cNvPr id="10244" name="Button 2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A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561975</xdr:colOff>
          <xdr:row>38</xdr:row>
          <xdr:rowOff>133350</xdr:rowOff>
        </xdr:from>
        <xdr:to>
          <xdr:col>6</xdr:col>
          <xdr:colOff>800100</xdr:colOff>
          <xdr:row>42</xdr:row>
          <xdr:rowOff>57150</xdr:rowOff>
        </xdr:to>
        <xdr:sp macro="" textlink="">
          <xdr:nvSpPr>
            <xdr:cNvPr id="10243" name="Button 4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A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419100</xdr:colOff>
          <xdr:row>62</xdr:row>
          <xdr:rowOff>142875</xdr:rowOff>
        </xdr:from>
        <xdr:to>
          <xdr:col>5</xdr:col>
          <xdr:colOff>666750</xdr:colOff>
          <xdr:row>66</xdr:row>
          <xdr:rowOff>66675</xdr:rowOff>
        </xdr:to>
        <xdr:sp macro="" textlink="">
          <xdr:nvSpPr>
            <xdr:cNvPr id="10242" name="Button 6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A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142875</xdr:colOff>
          <xdr:row>87</xdr:row>
          <xdr:rowOff>123825</xdr:rowOff>
        </xdr:from>
        <xdr:to>
          <xdr:col>6</xdr:col>
          <xdr:colOff>381000</xdr:colOff>
          <xdr:row>91</xdr:row>
          <xdr:rowOff>38100</xdr:rowOff>
        </xdr:to>
        <xdr:sp macro="" textlink="">
          <xdr:nvSpPr>
            <xdr:cNvPr id="10241" name="Button 8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A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</xdr:row>
          <xdr:rowOff>190500</xdr:rowOff>
        </xdr:from>
        <xdr:to>
          <xdr:col>4</xdr:col>
          <xdr:colOff>114300</xdr:colOff>
          <xdr:row>7</xdr:row>
          <xdr:rowOff>133350</xdr:rowOff>
        </xdr:to>
        <xdr:sp macro="" textlink="">
          <xdr:nvSpPr>
            <xdr:cNvPr id="3104" name="Button 12" descr="OK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id="{00000000-0008-0000-0200-00002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</xdr:colOff>
          <xdr:row>17</xdr:row>
          <xdr:rowOff>123825</xdr:rowOff>
        </xdr:from>
        <xdr:to>
          <xdr:col>4</xdr:col>
          <xdr:colOff>133350</xdr:colOff>
          <xdr:row>20</xdr:row>
          <xdr:rowOff>57150</xdr:rowOff>
        </xdr:to>
        <xdr:sp macro="" textlink="">
          <xdr:nvSpPr>
            <xdr:cNvPr id="3105" name="Button 46" descr="OK" hidden="1">
              <a:extLst>
                <a:ext uri="{63B3BB69-23CF-44E3-9099-C40C66FF867C}">
                  <a14:compatExt spid="_x0000_s3105"/>
                </a:ext>
                <a:ext uri="{FF2B5EF4-FFF2-40B4-BE49-F238E27FC236}">
                  <a16:creationId xmlns:a16="http://schemas.microsoft.com/office/drawing/2014/main" id="{00000000-0008-0000-0200-00002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27</xdr:row>
          <xdr:rowOff>152400</xdr:rowOff>
        </xdr:from>
        <xdr:to>
          <xdr:col>4</xdr:col>
          <xdr:colOff>152400</xdr:colOff>
          <xdr:row>30</xdr:row>
          <xdr:rowOff>152400</xdr:rowOff>
        </xdr:to>
        <xdr:sp macro="" textlink="">
          <xdr:nvSpPr>
            <xdr:cNvPr id="3106" name="Button 47" descr="OK" hidden="1">
              <a:extLst>
                <a:ext uri="{63B3BB69-23CF-44E3-9099-C40C66FF867C}">
                  <a14:compatExt spid="_x0000_s3106"/>
                </a:ext>
                <a:ext uri="{FF2B5EF4-FFF2-40B4-BE49-F238E27FC236}">
                  <a16:creationId xmlns:a16="http://schemas.microsoft.com/office/drawing/2014/main" id="{00000000-0008-0000-0200-00002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46</xdr:row>
          <xdr:rowOff>142875</xdr:rowOff>
        </xdr:from>
        <xdr:to>
          <xdr:col>4</xdr:col>
          <xdr:colOff>0</xdr:colOff>
          <xdr:row>49</xdr:row>
          <xdr:rowOff>104775</xdr:rowOff>
        </xdr:to>
        <xdr:sp macro="" textlink="">
          <xdr:nvSpPr>
            <xdr:cNvPr id="3107" name="Button 48" descr="OK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id="{00000000-0008-0000-0200-00002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55</xdr:row>
          <xdr:rowOff>133350</xdr:rowOff>
        </xdr:from>
        <xdr:to>
          <xdr:col>3</xdr:col>
          <xdr:colOff>295275</xdr:colOff>
          <xdr:row>58</xdr:row>
          <xdr:rowOff>104775</xdr:rowOff>
        </xdr:to>
        <xdr:sp macro="" textlink="">
          <xdr:nvSpPr>
            <xdr:cNvPr id="3108" name="Button 49" descr="OK" hidden="1">
              <a:extLst>
                <a:ext uri="{63B3BB69-23CF-44E3-9099-C40C66FF867C}">
                  <a14:compatExt spid="_x0000_s3108"/>
                </a:ext>
                <a:ext uri="{FF2B5EF4-FFF2-40B4-BE49-F238E27FC236}">
                  <a16:creationId xmlns:a16="http://schemas.microsoft.com/office/drawing/2014/main" id="{00000000-0008-0000-0200-00002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65</xdr:row>
          <xdr:rowOff>0</xdr:rowOff>
        </xdr:from>
        <xdr:to>
          <xdr:col>4</xdr:col>
          <xdr:colOff>104775</xdr:colOff>
          <xdr:row>67</xdr:row>
          <xdr:rowOff>171450</xdr:rowOff>
        </xdr:to>
        <xdr:sp macro="" textlink="">
          <xdr:nvSpPr>
            <xdr:cNvPr id="3109" name="Button 50" descr="OK" hidden="1">
              <a:extLst>
                <a:ext uri="{63B3BB69-23CF-44E3-9099-C40C66FF867C}">
                  <a14:compatExt spid="_x0000_s3109"/>
                </a:ext>
                <a:ext uri="{FF2B5EF4-FFF2-40B4-BE49-F238E27FC236}">
                  <a16:creationId xmlns:a16="http://schemas.microsoft.com/office/drawing/2014/main" id="{00000000-0008-0000-0200-00002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81</xdr:row>
          <xdr:rowOff>104775</xdr:rowOff>
        </xdr:from>
        <xdr:to>
          <xdr:col>3</xdr:col>
          <xdr:colOff>209550</xdr:colOff>
          <xdr:row>84</xdr:row>
          <xdr:rowOff>85725</xdr:rowOff>
        </xdr:to>
        <xdr:sp macro="" textlink="">
          <xdr:nvSpPr>
            <xdr:cNvPr id="3110" name="Button 51" descr="OK" hidden="1">
              <a:extLst>
                <a:ext uri="{63B3BB69-23CF-44E3-9099-C40C66FF867C}">
                  <a14:compatExt spid="_x0000_s3110"/>
                </a:ext>
                <a:ext uri="{FF2B5EF4-FFF2-40B4-BE49-F238E27FC236}">
                  <a16:creationId xmlns:a16="http://schemas.microsoft.com/office/drawing/2014/main" id="{00000000-0008-0000-0200-00002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</xdr:colOff>
          <xdr:row>90</xdr:row>
          <xdr:rowOff>114300</xdr:rowOff>
        </xdr:from>
        <xdr:to>
          <xdr:col>4</xdr:col>
          <xdr:colOff>133350</xdr:colOff>
          <xdr:row>93</xdr:row>
          <xdr:rowOff>95250</xdr:rowOff>
        </xdr:to>
        <xdr:sp macro="" textlink="">
          <xdr:nvSpPr>
            <xdr:cNvPr id="3111" name="Button 52" descr="OK" hidden="1">
              <a:extLst>
                <a:ext uri="{63B3BB69-23CF-44E3-9099-C40C66FF867C}">
                  <a14:compatExt spid="_x0000_s3111"/>
                </a:ext>
                <a:ext uri="{FF2B5EF4-FFF2-40B4-BE49-F238E27FC236}">
                  <a16:creationId xmlns:a16="http://schemas.microsoft.com/office/drawing/2014/main" id="{00000000-0008-0000-0200-00002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106</xdr:row>
          <xdr:rowOff>133350</xdr:rowOff>
        </xdr:from>
        <xdr:to>
          <xdr:col>4</xdr:col>
          <xdr:colOff>114300</xdr:colOff>
          <xdr:row>109</xdr:row>
          <xdr:rowOff>104775</xdr:rowOff>
        </xdr:to>
        <xdr:sp macro="" textlink="">
          <xdr:nvSpPr>
            <xdr:cNvPr id="3112" name="Button 53" descr="OK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2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781050</xdr:colOff>
          <xdr:row>121</xdr:row>
          <xdr:rowOff>152400</xdr:rowOff>
        </xdr:from>
        <xdr:to>
          <xdr:col>3</xdr:col>
          <xdr:colOff>47625</xdr:colOff>
          <xdr:row>124</xdr:row>
          <xdr:rowOff>133350</xdr:rowOff>
        </xdr:to>
        <xdr:sp macro="" textlink="">
          <xdr:nvSpPr>
            <xdr:cNvPr id="3113" name="Button 54" descr="OK" hidden="1">
              <a:extLst>
                <a:ext uri="{63B3BB69-23CF-44E3-9099-C40C66FF867C}">
                  <a14:compatExt spid="_x0000_s3113"/>
                </a:ext>
                <a:ext uri="{FF2B5EF4-FFF2-40B4-BE49-F238E27FC236}">
                  <a16:creationId xmlns:a16="http://schemas.microsoft.com/office/drawing/2014/main" id="{00000000-0008-0000-0200-00002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561975</xdr:colOff>
          <xdr:row>131</xdr:row>
          <xdr:rowOff>114300</xdr:rowOff>
        </xdr:from>
        <xdr:to>
          <xdr:col>2</xdr:col>
          <xdr:colOff>647700</xdr:colOff>
          <xdr:row>134</xdr:row>
          <xdr:rowOff>85725</xdr:rowOff>
        </xdr:to>
        <xdr:sp macro="" textlink="">
          <xdr:nvSpPr>
            <xdr:cNvPr id="3114" name="Button 55" descr="OK" hidden="1">
              <a:extLst>
                <a:ext uri="{63B3BB69-23CF-44E3-9099-C40C66FF867C}">
                  <a14:compatExt spid="_x0000_s3114"/>
                </a:ext>
                <a:ext uri="{FF2B5EF4-FFF2-40B4-BE49-F238E27FC236}">
                  <a16:creationId xmlns:a16="http://schemas.microsoft.com/office/drawing/2014/main" id="{00000000-0008-0000-0200-00002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552450</xdr:colOff>
          <xdr:row>142</xdr:row>
          <xdr:rowOff>104775</xdr:rowOff>
        </xdr:from>
        <xdr:to>
          <xdr:col>3</xdr:col>
          <xdr:colOff>638175</xdr:colOff>
          <xdr:row>145</xdr:row>
          <xdr:rowOff>38100</xdr:rowOff>
        </xdr:to>
        <xdr:sp macro="" textlink="">
          <xdr:nvSpPr>
            <xdr:cNvPr id="3115" name="Button 56" descr="OK" hidden="1">
              <a:extLst>
                <a:ext uri="{63B3BB69-23CF-44E3-9099-C40C66FF867C}">
                  <a14:compatExt spid="_x0000_s3115"/>
                </a:ext>
                <a:ext uri="{FF2B5EF4-FFF2-40B4-BE49-F238E27FC236}">
                  <a16:creationId xmlns:a16="http://schemas.microsoft.com/office/drawing/2014/main" id="{00000000-0008-0000-0200-00002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23</xdr:row>
          <xdr:rowOff>0</xdr:rowOff>
        </xdr:from>
        <xdr:to>
          <xdr:col>15</xdr:col>
          <xdr:colOff>666750</xdr:colOff>
          <xdr:row>25</xdr:row>
          <xdr:rowOff>142875</xdr:rowOff>
        </xdr:to>
        <xdr:sp macro="" textlink="">
          <xdr:nvSpPr>
            <xdr:cNvPr id="3116" name="Button 57" descr="OK" hidden="1">
              <a:extLst>
                <a:ext uri="{63B3BB69-23CF-44E3-9099-C40C66FF867C}">
                  <a14:compatExt spid="_x0000_s3116"/>
                </a:ext>
                <a:ext uri="{FF2B5EF4-FFF2-40B4-BE49-F238E27FC236}">
                  <a16:creationId xmlns:a16="http://schemas.microsoft.com/office/drawing/2014/main" id="{00000000-0008-0000-0200-00002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790575</xdr:colOff>
          <xdr:row>47</xdr:row>
          <xdr:rowOff>95250</xdr:rowOff>
        </xdr:from>
        <xdr:to>
          <xdr:col>15</xdr:col>
          <xdr:colOff>66675</xdr:colOff>
          <xdr:row>50</xdr:row>
          <xdr:rowOff>76200</xdr:rowOff>
        </xdr:to>
        <xdr:sp macro="" textlink="">
          <xdr:nvSpPr>
            <xdr:cNvPr id="3117" name="Button 58" descr="OK" hidden="1">
              <a:extLst>
                <a:ext uri="{63B3BB69-23CF-44E3-9099-C40C66FF867C}">
                  <a14:compatExt spid="_x0000_s3117"/>
                </a:ext>
                <a:ext uri="{FF2B5EF4-FFF2-40B4-BE49-F238E27FC236}">
                  <a16:creationId xmlns:a16="http://schemas.microsoft.com/office/drawing/2014/main" id="{00000000-0008-0000-0200-00002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742950</xdr:colOff>
          <xdr:row>74</xdr:row>
          <xdr:rowOff>133350</xdr:rowOff>
        </xdr:from>
        <xdr:to>
          <xdr:col>14</xdr:col>
          <xdr:colOff>19050</xdr:colOff>
          <xdr:row>77</xdr:row>
          <xdr:rowOff>66675</xdr:rowOff>
        </xdr:to>
        <xdr:sp macro="" textlink="">
          <xdr:nvSpPr>
            <xdr:cNvPr id="3118" name="Button 59" descr="OK" hidden="1">
              <a:extLst>
                <a:ext uri="{63B3BB69-23CF-44E3-9099-C40C66FF867C}">
                  <a14:compatExt spid="_x0000_s3118"/>
                </a:ext>
                <a:ext uri="{FF2B5EF4-FFF2-40B4-BE49-F238E27FC236}">
                  <a16:creationId xmlns:a16="http://schemas.microsoft.com/office/drawing/2014/main" id="{00000000-0008-0000-0200-00002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10</xdr:col>
      <xdr:colOff>21960</xdr:colOff>
      <xdr:row>81</xdr:row>
      <xdr:rowOff>36720</xdr:rowOff>
    </xdr:from>
    <xdr:to>
      <xdr:col>16</xdr:col>
      <xdr:colOff>500400</xdr:colOff>
      <xdr:row>95</xdr:row>
      <xdr:rowOff>138600</xdr:rowOff>
    </xdr:to>
    <xdr:graphicFrame macro="">
      <xdr:nvGraphicFramePr>
        <xdr:cNvPr id="7" name="Chart 4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95</xdr:row>
          <xdr:rowOff>152400</xdr:rowOff>
        </xdr:from>
        <xdr:to>
          <xdr:col>13</xdr:col>
          <xdr:colOff>85725</xdr:colOff>
          <xdr:row>98</xdr:row>
          <xdr:rowOff>76200</xdr:rowOff>
        </xdr:to>
        <xdr:sp macro="" textlink="">
          <xdr:nvSpPr>
            <xdr:cNvPr id="3119" name="Button 60" descr="OK" hidden="1">
              <a:extLst>
                <a:ext uri="{63B3BB69-23CF-44E3-9099-C40C66FF867C}">
                  <a14:compatExt spid="_x0000_s3119"/>
                </a:ext>
                <a:ext uri="{FF2B5EF4-FFF2-40B4-BE49-F238E27FC236}">
                  <a16:creationId xmlns:a16="http://schemas.microsoft.com/office/drawing/2014/main" id="{00000000-0008-0000-0200-00002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733425</xdr:colOff>
          <xdr:row>107</xdr:row>
          <xdr:rowOff>47625</xdr:rowOff>
        </xdr:from>
        <xdr:to>
          <xdr:col>14</xdr:col>
          <xdr:colOff>9525</xdr:colOff>
          <xdr:row>110</xdr:row>
          <xdr:rowOff>19050</xdr:rowOff>
        </xdr:to>
        <xdr:sp macro="" textlink="">
          <xdr:nvSpPr>
            <xdr:cNvPr id="3120" name="Button 61" descr="OK" hidden="1">
              <a:extLst>
                <a:ext uri="{63B3BB69-23CF-44E3-9099-C40C66FF867C}">
                  <a14:compatExt spid="_x0000_s3120"/>
                </a:ext>
                <a:ext uri="{FF2B5EF4-FFF2-40B4-BE49-F238E27FC236}">
                  <a16:creationId xmlns:a16="http://schemas.microsoft.com/office/drawing/2014/main" id="{00000000-0008-0000-0200-00003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10</xdr:col>
      <xdr:colOff>29880</xdr:colOff>
      <xdr:row>114</xdr:row>
      <xdr:rowOff>46440</xdr:rowOff>
    </xdr:from>
    <xdr:to>
      <xdr:col>16</xdr:col>
      <xdr:colOff>368640</xdr:colOff>
      <xdr:row>127</xdr:row>
      <xdr:rowOff>101880</xdr:rowOff>
    </xdr:to>
    <xdr:graphicFrame macro="">
      <xdr:nvGraphicFramePr>
        <xdr:cNvPr id="8" name="Chart 2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128</xdr:row>
          <xdr:rowOff>28575</xdr:rowOff>
        </xdr:from>
        <xdr:to>
          <xdr:col>13</xdr:col>
          <xdr:colOff>161925</xdr:colOff>
          <xdr:row>131</xdr:row>
          <xdr:rowOff>9525</xdr:rowOff>
        </xdr:to>
        <xdr:sp macro="" textlink="">
          <xdr:nvSpPr>
            <xdr:cNvPr id="3121" name="Button 62" descr="OK" hidden="1">
              <a:extLst>
                <a:ext uri="{63B3BB69-23CF-44E3-9099-C40C66FF867C}">
                  <a14:compatExt spid="_x0000_s3121"/>
                </a:ext>
                <a:ext uri="{FF2B5EF4-FFF2-40B4-BE49-F238E27FC236}">
                  <a16:creationId xmlns:a16="http://schemas.microsoft.com/office/drawing/2014/main" id="{00000000-0008-0000-0200-00003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136</xdr:row>
          <xdr:rowOff>76200</xdr:rowOff>
        </xdr:from>
        <xdr:to>
          <xdr:col>13</xdr:col>
          <xdr:colOff>161925</xdr:colOff>
          <xdr:row>138</xdr:row>
          <xdr:rowOff>180975</xdr:rowOff>
        </xdr:to>
        <xdr:sp macro="" textlink="">
          <xdr:nvSpPr>
            <xdr:cNvPr id="3122" name="Button 63" descr="OK" hidden="1">
              <a:extLst>
                <a:ext uri="{63B3BB69-23CF-44E3-9099-C40C66FF867C}">
                  <a14:compatExt spid="_x0000_s3122"/>
                </a:ext>
                <a:ext uri="{FF2B5EF4-FFF2-40B4-BE49-F238E27FC236}">
                  <a16:creationId xmlns:a16="http://schemas.microsoft.com/office/drawing/2014/main" id="{00000000-0008-0000-0200-00003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</xdr:colOff>
          <xdr:row>145</xdr:row>
          <xdr:rowOff>38100</xdr:rowOff>
        </xdr:from>
        <xdr:to>
          <xdr:col>13</xdr:col>
          <xdr:colOff>133350</xdr:colOff>
          <xdr:row>147</xdr:row>
          <xdr:rowOff>180975</xdr:rowOff>
        </xdr:to>
        <xdr:sp macro="" textlink="">
          <xdr:nvSpPr>
            <xdr:cNvPr id="3123" name="Button 64" descr="OK" hidden="1">
              <a:extLst>
                <a:ext uri="{63B3BB69-23CF-44E3-9099-C40C66FF867C}">
                  <a14:compatExt spid="_x0000_s3123"/>
                </a:ext>
                <a:ext uri="{FF2B5EF4-FFF2-40B4-BE49-F238E27FC236}">
                  <a16:creationId xmlns:a16="http://schemas.microsoft.com/office/drawing/2014/main" id="{00000000-0008-0000-0200-00003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10</xdr:col>
      <xdr:colOff>0</xdr:colOff>
      <xdr:row>151</xdr:row>
      <xdr:rowOff>52920</xdr:rowOff>
    </xdr:from>
    <xdr:to>
      <xdr:col>16</xdr:col>
      <xdr:colOff>457920</xdr:colOff>
      <xdr:row>165</xdr:row>
      <xdr:rowOff>77040</xdr:rowOff>
    </xdr:to>
    <xdr:graphicFrame macro="">
      <xdr:nvGraphicFramePr>
        <xdr:cNvPr id="9" name="Chart 6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685800</xdr:colOff>
          <xdr:row>165</xdr:row>
          <xdr:rowOff>114300</xdr:rowOff>
        </xdr:from>
        <xdr:to>
          <xdr:col>12</xdr:col>
          <xdr:colOff>771525</xdr:colOff>
          <xdr:row>168</xdr:row>
          <xdr:rowOff>95250</xdr:rowOff>
        </xdr:to>
        <xdr:sp macro="" textlink="">
          <xdr:nvSpPr>
            <xdr:cNvPr id="3124" name="Button 65" descr="OK" hidden="1">
              <a:extLst>
                <a:ext uri="{63B3BB69-23CF-44E3-9099-C40C66FF867C}">
                  <a14:compatExt spid="_x0000_s3124"/>
                </a:ext>
                <a:ext uri="{FF2B5EF4-FFF2-40B4-BE49-F238E27FC236}">
                  <a16:creationId xmlns:a16="http://schemas.microsoft.com/office/drawing/2014/main" id="{00000000-0008-0000-0200-00003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781050</xdr:colOff>
          <xdr:row>188</xdr:row>
          <xdr:rowOff>57150</xdr:rowOff>
        </xdr:from>
        <xdr:to>
          <xdr:col>14</xdr:col>
          <xdr:colOff>57150</xdr:colOff>
          <xdr:row>191</xdr:row>
          <xdr:rowOff>38100</xdr:rowOff>
        </xdr:to>
        <xdr:sp macro="" textlink="">
          <xdr:nvSpPr>
            <xdr:cNvPr id="3125" name="Button 66" descr="OK" hidden="1">
              <a:extLst>
                <a:ext uri="{63B3BB69-23CF-44E3-9099-C40C66FF867C}">
                  <a14:compatExt spid="_x0000_s3125"/>
                </a:ext>
                <a:ext uri="{FF2B5EF4-FFF2-40B4-BE49-F238E27FC236}">
                  <a16:creationId xmlns:a16="http://schemas.microsoft.com/office/drawing/2014/main" id="{00000000-0008-0000-0200-00003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200</xdr:row>
          <xdr:rowOff>76200</xdr:rowOff>
        </xdr:from>
        <xdr:to>
          <xdr:col>13</xdr:col>
          <xdr:colOff>133350</xdr:colOff>
          <xdr:row>203</xdr:row>
          <xdr:rowOff>57150</xdr:rowOff>
        </xdr:to>
        <xdr:sp macro="" textlink="">
          <xdr:nvSpPr>
            <xdr:cNvPr id="3126" name="Button 67" descr="OK" hidden="1">
              <a:extLst>
                <a:ext uri="{63B3BB69-23CF-44E3-9099-C40C66FF867C}">
                  <a14:compatExt spid="_x0000_s3126"/>
                </a:ext>
                <a:ext uri="{FF2B5EF4-FFF2-40B4-BE49-F238E27FC236}">
                  <a16:creationId xmlns:a16="http://schemas.microsoft.com/office/drawing/2014/main" id="{00000000-0008-0000-0200-00003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485775</xdr:colOff>
          <xdr:row>217</xdr:row>
          <xdr:rowOff>38100</xdr:rowOff>
        </xdr:from>
        <xdr:to>
          <xdr:col>13</xdr:col>
          <xdr:colOff>571500</xdr:colOff>
          <xdr:row>220</xdr:row>
          <xdr:rowOff>19050</xdr:rowOff>
        </xdr:to>
        <xdr:sp macro="" textlink="">
          <xdr:nvSpPr>
            <xdr:cNvPr id="3072" name="Button 68" descr="OK" hidden="1">
              <a:extLst>
                <a:ext uri="{63B3BB69-23CF-44E3-9099-C40C66FF867C}">
                  <a14:compatExt spid="_x0000_s3072"/>
                </a:ext>
                <a:ext uri="{FF2B5EF4-FFF2-40B4-BE49-F238E27FC236}">
                  <a16:creationId xmlns:a16="http://schemas.microsoft.com/office/drawing/2014/main" id="{00000000-0008-0000-0200-00000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428625</xdr:colOff>
          <xdr:row>243</xdr:row>
          <xdr:rowOff>133350</xdr:rowOff>
        </xdr:from>
        <xdr:to>
          <xdr:col>14</xdr:col>
          <xdr:colOff>514350</xdr:colOff>
          <xdr:row>246</xdr:row>
          <xdr:rowOff>85725</xdr:rowOff>
        </xdr:to>
        <xdr:sp macro="" textlink="">
          <xdr:nvSpPr>
            <xdr:cNvPr id="3073" name="Button 69" descr="OK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142875</xdr:colOff>
          <xdr:row>264</xdr:row>
          <xdr:rowOff>0</xdr:rowOff>
        </xdr:from>
        <xdr:to>
          <xdr:col>13</xdr:col>
          <xdr:colOff>228600</xdr:colOff>
          <xdr:row>266</xdr:row>
          <xdr:rowOff>171450</xdr:rowOff>
        </xdr:to>
        <xdr:sp macro="" textlink="">
          <xdr:nvSpPr>
            <xdr:cNvPr id="3074" name="Button 70" descr="OK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10</xdr:col>
      <xdr:colOff>459720</xdr:colOff>
      <xdr:row>249</xdr:row>
      <xdr:rowOff>65160</xdr:rowOff>
    </xdr:from>
    <xdr:to>
      <xdr:col>16</xdr:col>
      <xdr:colOff>11880</xdr:colOff>
      <xdr:row>262</xdr:row>
      <xdr:rowOff>131760</xdr:rowOff>
    </xdr:to>
    <xdr:graphicFrame macro="">
      <xdr:nvGraphicFramePr>
        <xdr:cNvPr id="10" name="Chart 82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400050</xdr:colOff>
          <xdr:row>283</xdr:row>
          <xdr:rowOff>104775</xdr:rowOff>
        </xdr:from>
        <xdr:to>
          <xdr:col>14</xdr:col>
          <xdr:colOff>485775</xdr:colOff>
          <xdr:row>286</xdr:row>
          <xdr:rowOff>85725</xdr:rowOff>
        </xdr:to>
        <xdr:sp macro="" textlink="">
          <xdr:nvSpPr>
            <xdr:cNvPr id="3075" name="Button 71" descr="OK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2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</xdr:colOff>
          <xdr:row>302</xdr:row>
          <xdr:rowOff>85725</xdr:rowOff>
        </xdr:from>
        <xdr:to>
          <xdr:col>13</xdr:col>
          <xdr:colOff>104775</xdr:colOff>
          <xdr:row>305</xdr:row>
          <xdr:rowOff>66675</xdr:rowOff>
        </xdr:to>
        <xdr:sp macro="" textlink="">
          <xdr:nvSpPr>
            <xdr:cNvPr id="3076" name="Button 72" descr="OK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2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10</xdr:col>
      <xdr:colOff>180720</xdr:colOff>
      <xdr:row>289</xdr:row>
      <xdr:rowOff>0</xdr:rowOff>
    </xdr:from>
    <xdr:to>
      <xdr:col>15</xdr:col>
      <xdr:colOff>573840</xdr:colOff>
      <xdr:row>302</xdr:row>
      <xdr:rowOff>48600</xdr:rowOff>
    </xdr:to>
    <xdr:graphicFrame macro="">
      <xdr:nvGraphicFramePr>
        <xdr:cNvPr id="11" name="Chart 8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10</xdr:col>
      <xdr:colOff>0</xdr:colOff>
      <xdr:row>310</xdr:row>
      <xdr:rowOff>0</xdr:rowOff>
    </xdr:from>
    <xdr:to>
      <xdr:col>15</xdr:col>
      <xdr:colOff>403560</xdr:colOff>
      <xdr:row>323</xdr:row>
      <xdr:rowOff>153360</xdr:rowOff>
    </xdr:to>
    <xdr:graphicFrame macro="">
      <xdr:nvGraphicFramePr>
        <xdr:cNvPr id="12" name="Chart 8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561975</xdr:colOff>
          <xdr:row>324</xdr:row>
          <xdr:rowOff>0</xdr:rowOff>
        </xdr:from>
        <xdr:to>
          <xdr:col>12</xdr:col>
          <xdr:colOff>647700</xdr:colOff>
          <xdr:row>326</xdr:row>
          <xdr:rowOff>171450</xdr:rowOff>
        </xdr:to>
        <xdr:sp macro="" textlink="">
          <xdr:nvSpPr>
            <xdr:cNvPr id="3077" name="Button 73" descr="OK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2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10</xdr:col>
      <xdr:colOff>82440</xdr:colOff>
      <xdr:row>344</xdr:row>
      <xdr:rowOff>27360</xdr:rowOff>
    </xdr:from>
    <xdr:to>
      <xdr:col>16</xdr:col>
      <xdr:colOff>351720</xdr:colOff>
      <xdr:row>358</xdr:row>
      <xdr:rowOff>109440</xdr:rowOff>
    </xdr:to>
    <xdr:graphicFrame macro="">
      <xdr:nvGraphicFramePr>
        <xdr:cNvPr id="13" name="Chart 9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676275</xdr:colOff>
          <xdr:row>358</xdr:row>
          <xdr:rowOff>171450</xdr:rowOff>
        </xdr:from>
        <xdr:to>
          <xdr:col>12</xdr:col>
          <xdr:colOff>762000</xdr:colOff>
          <xdr:row>361</xdr:row>
          <xdr:rowOff>152400</xdr:rowOff>
        </xdr:to>
        <xdr:sp macro="" textlink="">
          <xdr:nvSpPr>
            <xdr:cNvPr id="3078" name="Button 74" descr="OK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2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10</xdr:col>
      <xdr:colOff>97200</xdr:colOff>
      <xdr:row>329</xdr:row>
      <xdr:rowOff>65160</xdr:rowOff>
    </xdr:from>
    <xdr:to>
      <xdr:col>16</xdr:col>
      <xdr:colOff>187200</xdr:colOff>
      <xdr:row>344</xdr:row>
      <xdr:rowOff>55080</xdr:rowOff>
    </xdr:to>
    <xdr:graphicFrame macro="">
      <xdr:nvGraphicFramePr>
        <xdr:cNvPr id="14" name="Chart 80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304800</xdr:colOff>
          <xdr:row>22</xdr:row>
          <xdr:rowOff>38100</xdr:rowOff>
        </xdr:from>
        <xdr:to>
          <xdr:col>28</xdr:col>
          <xdr:colOff>390525</xdr:colOff>
          <xdr:row>24</xdr:row>
          <xdr:rowOff>85725</xdr:rowOff>
        </xdr:to>
        <xdr:sp macro="" textlink="">
          <xdr:nvSpPr>
            <xdr:cNvPr id="3079" name="Button 79" descr="OK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2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19050</xdr:colOff>
          <xdr:row>4</xdr:row>
          <xdr:rowOff>190500</xdr:rowOff>
        </xdr:from>
        <xdr:to>
          <xdr:col>4</xdr:col>
          <xdr:colOff>114300</xdr:colOff>
          <xdr:row>7</xdr:row>
          <xdr:rowOff>133350</xdr:rowOff>
        </xdr:to>
        <xdr:sp macro="" textlink="">
          <xdr:nvSpPr>
            <xdr:cNvPr id="3103" name="Button 12" hidden="1">
              <a:extLst>
                <a:ext uri="{63B3BB69-23CF-44E3-9099-C40C66FF867C}">
                  <a14:compatExt spid="_x0000_s3103"/>
                </a:ext>
                <a:ext uri="{FF2B5EF4-FFF2-40B4-BE49-F238E27FC236}">
                  <a16:creationId xmlns:a16="http://schemas.microsoft.com/office/drawing/2014/main" id="{00000000-0008-0000-0200-00001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17</xdr:row>
          <xdr:rowOff>123825</xdr:rowOff>
        </xdr:from>
        <xdr:to>
          <xdr:col>4</xdr:col>
          <xdr:colOff>133350</xdr:colOff>
          <xdr:row>20</xdr:row>
          <xdr:rowOff>57150</xdr:rowOff>
        </xdr:to>
        <xdr:sp macro="" textlink="">
          <xdr:nvSpPr>
            <xdr:cNvPr id="3102" name="Button 46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00000000-0008-0000-0200-00001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66675</xdr:colOff>
          <xdr:row>27</xdr:row>
          <xdr:rowOff>152400</xdr:rowOff>
        </xdr:from>
        <xdr:to>
          <xdr:col>4</xdr:col>
          <xdr:colOff>152400</xdr:colOff>
          <xdr:row>30</xdr:row>
          <xdr:rowOff>152400</xdr:rowOff>
        </xdr:to>
        <xdr:sp macro="" textlink="">
          <xdr:nvSpPr>
            <xdr:cNvPr id="3101" name="Button 47" hidden="1">
              <a:extLst>
                <a:ext uri="{63B3BB69-23CF-44E3-9099-C40C66FF867C}">
                  <a14:compatExt spid="_x0000_s3101"/>
                </a:ext>
                <a:ext uri="{FF2B5EF4-FFF2-40B4-BE49-F238E27FC236}">
                  <a16:creationId xmlns:a16="http://schemas.microsoft.com/office/drawing/2014/main" id="{00000000-0008-0000-0200-00001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723900</xdr:colOff>
          <xdr:row>46</xdr:row>
          <xdr:rowOff>142875</xdr:rowOff>
        </xdr:from>
        <xdr:to>
          <xdr:col>4</xdr:col>
          <xdr:colOff>0</xdr:colOff>
          <xdr:row>49</xdr:row>
          <xdr:rowOff>104775</xdr:rowOff>
        </xdr:to>
        <xdr:sp macro="" textlink="">
          <xdr:nvSpPr>
            <xdr:cNvPr id="3100" name="Button 48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id="{00000000-0008-0000-0200-00001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209550</xdr:colOff>
          <xdr:row>55</xdr:row>
          <xdr:rowOff>133350</xdr:rowOff>
        </xdr:from>
        <xdr:to>
          <xdr:col>3</xdr:col>
          <xdr:colOff>295275</xdr:colOff>
          <xdr:row>58</xdr:row>
          <xdr:rowOff>104775</xdr:rowOff>
        </xdr:to>
        <xdr:sp macro="" textlink="">
          <xdr:nvSpPr>
            <xdr:cNvPr id="3099" name="Button 49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00000000-0008-0000-0200-00001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19050</xdr:colOff>
          <xdr:row>65</xdr:row>
          <xdr:rowOff>0</xdr:rowOff>
        </xdr:from>
        <xdr:to>
          <xdr:col>4</xdr:col>
          <xdr:colOff>104775</xdr:colOff>
          <xdr:row>67</xdr:row>
          <xdr:rowOff>171450</xdr:rowOff>
        </xdr:to>
        <xdr:sp macro="" textlink="">
          <xdr:nvSpPr>
            <xdr:cNvPr id="3098" name="Button 50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id="{00000000-0008-0000-0200-00001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123825</xdr:colOff>
          <xdr:row>81</xdr:row>
          <xdr:rowOff>104775</xdr:rowOff>
        </xdr:from>
        <xdr:to>
          <xdr:col>3</xdr:col>
          <xdr:colOff>209550</xdr:colOff>
          <xdr:row>84</xdr:row>
          <xdr:rowOff>85725</xdr:rowOff>
        </xdr:to>
        <xdr:sp macro="" textlink="">
          <xdr:nvSpPr>
            <xdr:cNvPr id="3097" name="Button 51" hidden="1">
              <a:extLst>
                <a:ext uri="{63B3BB69-23CF-44E3-9099-C40C66FF867C}">
                  <a14:compatExt spid="_x0000_s3097"/>
                </a:ext>
                <a:ext uri="{FF2B5EF4-FFF2-40B4-BE49-F238E27FC236}">
                  <a16:creationId xmlns:a16="http://schemas.microsoft.com/office/drawing/2014/main" id="{00000000-0008-0000-0200-00001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90</xdr:row>
          <xdr:rowOff>114300</xdr:rowOff>
        </xdr:from>
        <xdr:to>
          <xdr:col>4</xdr:col>
          <xdr:colOff>133350</xdr:colOff>
          <xdr:row>93</xdr:row>
          <xdr:rowOff>95250</xdr:rowOff>
        </xdr:to>
        <xdr:sp macro="" textlink="">
          <xdr:nvSpPr>
            <xdr:cNvPr id="3096" name="Button 52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2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28575</xdr:colOff>
          <xdr:row>106</xdr:row>
          <xdr:rowOff>133350</xdr:rowOff>
        </xdr:from>
        <xdr:to>
          <xdr:col>4</xdr:col>
          <xdr:colOff>114300</xdr:colOff>
          <xdr:row>109</xdr:row>
          <xdr:rowOff>104775</xdr:rowOff>
        </xdr:to>
        <xdr:sp macro="" textlink="">
          <xdr:nvSpPr>
            <xdr:cNvPr id="3095" name="Button 5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2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781050</xdr:colOff>
          <xdr:row>121</xdr:row>
          <xdr:rowOff>152400</xdr:rowOff>
        </xdr:from>
        <xdr:to>
          <xdr:col>3</xdr:col>
          <xdr:colOff>47625</xdr:colOff>
          <xdr:row>124</xdr:row>
          <xdr:rowOff>133350</xdr:rowOff>
        </xdr:to>
        <xdr:sp macro="" textlink="">
          <xdr:nvSpPr>
            <xdr:cNvPr id="3094" name="Button 54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2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561975</xdr:colOff>
          <xdr:row>131</xdr:row>
          <xdr:rowOff>114300</xdr:rowOff>
        </xdr:from>
        <xdr:to>
          <xdr:col>2</xdr:col>
          <xdr:colOff>647700</xdr:colOff>
          <xdr:row>134</xdr:row>
          <xdr:rowOff>85725</xdr:rowOff>
        </xdr:to>
        <xdr:sp macro="" textlink="">
          <xdr:nvSpPr>
            <xdr:cNvPr id="3093" name="Button 55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2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552450</xdr:colOff>
          <xdr:row>142</xdr:row>
          <xdr:rowOff>104775</xdr:rowOff>
        </xdr:from>
        <xdr:to>
          <xdr:col>3</xdr:col>
          <xdr:colOff>638175</xdr:colOff>
          <xdr:row>145</xdr:row>
          <xdr:rowOff>38100</xdr:rowOff>
        </xdr:to>
        <xdr:sp macro="" textlink="">
          <xdr:nvSpPr>
            <xdr:cNvPr id="3092" name="Button 56" hidden="1">
              <a:extLst>
                <a:ext uri="{63B3BB69-23CF-44E3-9099-C40C66FF867C}">
                  <a14:compatExt spid="_x0000_s3092"/>
                </a:ext>
                <a:ext uri="{FF2B5EF4-FFF2-40B4-BE49-F238E27FC236}">
                  <a16:creationId xmlns:a16="http://schemas.microsoft.com/office/drawing/2014/main" id="{00000000-0008-0000-0200-00001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342900</xdr:colOff>
          <xdr:row>23</xdr:row>
          <xdr:rowOff>0</xdr:rowOff>
        </xdr:from>
        <xdr:to>
          <xdr:col>15</xdr:col>
          <xdr:colOff>666750</xdr:colOff>
          <xdr:row>25</xdr:row>
          <xdr:rowOff>142875</xdr:rowOff>
        </xdr:to>
        <xdr:sp macro="" textlink="">
          <xdr:nvSpPr>
            <xdr:cNvPr id="3091" name="Button 57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2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790575</xdr:colOff>
          <xdr:row>47</xdr:row>
          <xdr:rowOff>95250</xdr:rowOff>
        </xdr:from>
        <xdr:to>
          <xdr:col>15</xdr:col>
          <xdr:colOff>66675</xdr:colOff>
          <xdr:row>50</xdr:row>
          <xdr:rowOff>76200</xdr:rowOff>
        </xdr:to>
        <xdr:sp macro="" textlink="">
          <xdr:nvSpPr>
            <xdr:cNvPr id="3090" name="Button 5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2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742950</xdr:colOff>
          <xdr:row>74</xdr:row>
          <xdr:rowOff>133350</xdr:rowOff>
        </xdr:from>
        <xdr:to>
          <xdr:col>14</xdr:col>
          <xdr:colOff>19050</xdr:colOff>
          <xdr:row>77</xdr:row>
          <xdr:rowOff>66675</xdr:rowOff>
        </xdr:to>
        <xdr:sp macro="" textlink="">
          <xdr:nvSpPr>
            <xdr:cNvPr id="3089" name="Button 59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2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95</xdr:row>
          <xdr:rowOff>152400</xdr:rowOff>
        </xdr:from>
        <xdr:to>
          <xdr:col>13</xdr:col>
          <xdr:colOff>85725</xdr:colOff>
          <xdr:row>98</xdr:row>
          <xdr:rowOff>76200</xdr:rowOff>
        </xdr:to>
        <xdr:sp macro="" textlink="">
          <xdr:nvSpPr>
            <xdr:cNvPr id="3088" name="Button 60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00000000-0008-0000-02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733425</xdr:colOff>
          <xdr:row>107</xdr:row>
          <xdr:rowOff>47625</xdr:rowOff>
        </xdr:from>
        <xdr:to>
          <xdr:col>14</xdr:col>
          <xdr:colOff>9525</xdr:colOff>
          <xdr:row>110</xdr:row>
          <xdr:rowOff>19050</xdr:rowOff>
        </xdr:to>
        <xdr:sp macro="" textlink="">
          <xdr:nvSpPr>
            <xdr:cNvPr id="3087" name="Button 61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2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76200</xdr:colOff>
          <xdr:row>128</xdr:row>
          <xdr:rowOff>28575</xdr:rowOff>
        </xdr:from>
        <xdr:to>
          <xdr:col>13</xdr:col>
          <xdr:colOff>161925</xdr:colOff>
          <xdr:row>131</xdr:row>
          <xdr:rowOff>9525</xdr:rowOff>
        </xdr:to>
        <xdr:sp macro="" textlink="">
          <xdr:nvSpPr>
            <xdr:cNvPr id="3086" name="Button 62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2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76200</xdr:colOff>
          <xdr:row>136</xdr:row>
          <xdr:rowOff>76200</xdr:rowOff>
        </xdr:from>
        <xdr:to>
          <xdr:col>13</xdr:col>
          <xdr:colOff>161925</xdr:colOff>
          <xdr:row>138</xdr:row>
          <xdr:rowOff>180975</xdr:rowOff>
        </xdr:to>
        <xdr:sp macro="" textlink="">
          <xdr:nvSpPr>
            <xdr:cNvPr id="3085" name="Button 6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2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47625</xdr:colOff>
          <xdr:row>145</xdr:row>
          <xdr:rowOff>38100</xdr:rowOff>
        </xdr:from>
        <xdr:to>
          <xdr:col>13</xdr:col>
          <xdr:colOff>133350</xdr:colOff>
          <xdr:row>147</xdr:row>
          <xdr:rowOff>180975</xdr:rowOff>
        </xdr:to>
        <xdr:sp macro="" textlink="">
          <xdr:nvSpPr>
            <xdr:cNvPr id="3084" name="Button 64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00000000-0008-0000-02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685800</xdr:colOff>
          <xdr:row>165</xdr:row>
          <xdr:rowOff>114300</xdr:rowOff>
        </xdr:from>
        <xdr:to>
          <xdr:col>12</xdr:col>
          <xdr:colOff>771525</xdr:colOff>
          <xdr:row>168</xdr:row>
          <xdr:rowOff>95250</xdr:rowOff>
        </xdr:to>
        <xdr:sp macro="" textlink="">
          <xdr:nvSpPr>
            <xdr:cNvPr id="3083" name="Button 65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00000000-0008-0000-02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781050</xdr:colOff>
          <xdr:row>188</xdr:row>
          <xdr:rowOff>57150</xdr:rowOff>
        </xdr:from>
        <xdr:to>
          <xdr:col>14</xdr:col>
          <xdr:colOff>57150</xdr:colOff>
          <xdr:row>191</xdr:row>
          <xdr:rowOff>38100</xdr:rowOff>
        </xdr:to>
        <xdr:sp macro="" textlink="">
          <xdr:nvSpPr>
            <xdr:cNvPr id="3082" name="Button 66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2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38100</xdr:colOff>
          <xdr:row>200</xdr:row>
          <xdr:rowOff>76200</xdr:rowOff>
        </xdr:from>
        <xdr:to>
          <xdr:col>13</xdr:col>
          <xdr:colOff>133350</xdr:colOff>
          <xdr:row>203</xdr:row>
          <xdr:rowOff>57150</xdr:rowOff>
        </xdr:to>
        <xdr:sp macro="" textlink="">
          <xdr:nvSpPr>
            <xdr:cNvPr id="3081" name="Button 67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2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485775</xdr:colOff>
          <xdr:row>217</xdr:row>
          <xdr:rowOff>38100</xdr:rowOff>
        </xdr:from>
        <xdr:to>
          <xdr:col>13</xdr:col>
          <xdr:colOff>571500</xdr:colOff>
          <xdr:row>220</xdr:row>
          <xdr:rowOff>19050</xdr:rowOff>
        </xdr:to>
        <xdr:sp macro="" textlink="">
          <xdr:nvSpPr>
            <xdr:cNvPr id="3080" name="Button 6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2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428625</xdr:colOff>
          <xdr:row>243</xdr:row>
          <xdr:rowOff>133350</xdr:rowOff>
        </xdr:from>
        <xdr:to>
          <xdr:col>14</xdr:col>
          <xdr:colOff>514350</xdr:colOff>
          <xdr:row>246</xdr:row>
          <xdr:rowOff>85725</xdr:rowOff>
        </xdr:to>
        <xdr:sp macro="" textlink="">
          <xdr:nvSpPr>
            <xdr:cNvPr id="2" name="Button 69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200-000002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142875</xdr:colOff>
          <xdr:row>264</xdr:row>
          <xdr:rowOff>0</xdr:rowOff>
        </xdr:from>
        <xdr:to>
          <xdr:col>13</xdr:col>
          <xdr:colOff>228600</xdr:colOff>
          <xdr:row>266</xdr:row>
          <xdr:rowOff>171450</xdr:rowOff>
        </xdr:to>
        <xdr:sp macro="" textlink="">
          <xdr:nvSpPr>
            <xdr:cNvPr id="3" name="Button 70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400050</xdr:colOff>
          <xdr:row>283</xdr:row>
          <xdr:rowOff>104775</xdr:rowOff>
        </xdr:from>
        <xdr:to>
          <xdr:col>14</xdr:col>
          <xdr:colOff>485775</xdr:colOff>
          <xdr:row>286</xdr:row>
          <xdr:rowOff>85725</xdr:rowOff>
        </xdr:to>
        <xdr:sp macro="" textlink="">
          <xdr:nvSpPr>
            <xdr:cNvPr id="4" name="Button 71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200-000004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19050</xdr:colOff>
          <xdr:row>302</xdr:row>
          <xdr:rowOff>85725</xdr:rowOff>
        </xdr:from>
        <xdr:to>
          <xdr:col>13</xdr:col>
          <xdr:colOff>104775</xdr:colOff>
          <xdr:row>305</xdr:row>
          <xdr:rowOff>66675</xdr:rowOff>
        </xdr:to>
        <xdr:sp macro="" textlink="">
          <xdr:nvSpPr>
            <xdr:cNvPr id="5" name="Button 72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200-000005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561975</xdr:colOff>
          <xdr:row>324</xdr:row>
          <xdr:rowOff>0</xdr:rowOff>
        </xdr:from>
        <xdr:to>
          <xdr:col>12</xdr:col>
          <xdr:colOff>647700</xdr:colOff>
          <xdr:row>326</xdr:row>
          <xdr:rowOff>171450</xdr:rowOff>
        </xdr:to>
        <xdr:sp macro="" textlink="">
          <xdr:nvSpPr>
            <xdr:cNvPr id="6" name="Button 7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200-000006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676275</xdr:colOff>
          <xdr:row>358</xdr:row>
          <xdr:rowOff>171450</xdr:rowOff>
        </xdr:from>
        <xdr:to>
          <xdr:col>12</xdr:col>
          <xdr:colOff>762000</xdr:colOff>
          <xdr:row>361</xdr:row>
          <xdr:rowOff>152400</xdr:rowOff>
        </xdr:to>
        <xdr:sp macro="" textlink="">
          <xdr:nvSpPr>
            <xdr:cNvPr id="15" name="Button 74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F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27</xdr:col>
          <xdr:colOff>304800</xdr:colOff>
          <xdr:row>22</xdr:row>
          <xdr:rowOff>38100</xdr:rowOff>
        </xdr:from>
        <xdr:to>
          <xdr:col>28</xdr:col>
          <xdr:colOff>390525</xdr:colOff>
          <xdr:row>24</xdr:row>
          <xdr:rowOff>85725</xdr:rowOff>
        </xdr:to>
        <xdr:sp macro="" textlink="">
          <xdr:nvSpPr>
            <xdr:cNvPr id="16" name="Button 79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10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0.14503</cdr:x>
      <cdr:y>0</cdr:y>
    </cdr:from>
    <cdr:to>
      <cdr:x>0.35153</cdr:x>
      <cdr:y>0.06252</cdr:y>
    </cdr:to>
    <cdr:sp macro="" textlink="">
      <cdr:nvSpPr>
        <cdr:cNvPr id="15" name="Text 1"/>
        <cdr:cNvSpPr/>
      </cdr:nvSpPr>
      <cdr:spPr>
        <a:xfrm xmlns:a="http://schemas.openxmlformats.org/drawingml/2006/main">
          <a:off x="720360" y="0"/>
          <a:ext cx="1025640" cy="173880"/>
        </a:xfrm>
        <a:custGeom xmlns:a="http://schemas.openxmlformats.org/drawingml/2006/main">
          <a:avLst/>
          <a:gdLst/>
          <a:ahLst/>
          <a:cxn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 xmlns:a="http://schemas.openxmlformats.org/drawingml/2006/main"/>
        <a:ln xmlns:a="http://schemas.openxmlformats.org/drawingml/2006/main" w="0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/>
      </cdr:style>
      <cdr:txBody>
        <a:bodyPr xmlns:a="http://schemas.openxmlformats.org/drawingml/2006/main" lIns="20160" tIns="20160" rIns="20160" bIns="20160" anchor="t">
          <a:spAutoFit/>
        </a:bodyPr>
        <a:lstStyle xmlns:a="http://schemas.openxmlformats.org/drawingml/2006/main"/>
        <a:p xmlns:a="http://schemas.openxmlformats.org/drawingml/2006/main">
          <a:r>
            <a:rPr sz="880" b="1" u="none" strike="noStrike">
              <a:effectLst/>
              <a:uFillTx/>
              <a:latin typeface="Arial"/>
            </a:rPr>
            <a:t>Top of Reservoir</a:t>
          </a:r>
          <a:endParaRPr sz="880" b="0" u="none" strike="noStrike">
            <a:effectLst/>
            <a:uFillTx/>
            <a:latin typeface="Times New Roman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200025</xdr:colOff>
          <xdr:row>7</xdr:row>
          <xdr:rowOff>38100</xdr:rowOff>
        </xdr:from>
        <xdr:to>
          <xdr:col>3</xdr:col>
          <xdr:colOff>276225</xdr:colOff>
          <xdr:row>10</xdr:row>
          <xdr:rowOff>9525</xdr:rowOff>
        </xdr:to>
        <xdr:sp macro="" textlink="">
          <xdr:nvSpPr>
            <xdr:cNvPr id="7200" name="Button 1100" descr="OK" hidden="1">
              <a:extLst>
                <a:ext uri="{63B3BB69-23CF-44E3-9099-C40C66FF867C}">
                  <a14:compatExt spid="_x0000_s7200"/>
                </a:ext>
                <a:ext uri="{FF2B5EF4-FFF2-40B4-BE49-F238E27FC236}">
                  <a16:creationId xmlns:a16="http://schemas.microsoft.com/office/drawing/2014/main" id="{00000000-0008-0000-0700-00002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209550</xdr:colOff>
          <xdr:row>22</xdr:row>
          <xdr:rowOff>152400</xdr:rowOff>
        </xdr:from>
        <xdr:to>
          <xdr:col>11</xdr:col>
          <xdr:colOff>723900</xdr:colOff>
          <xdr:row>25</xdr:row>
          <xdr:rowOff>38100</xdr:rowOff>
        </xdr:to>
        <xdr:sp macro="" textlink="">
          <xdr:nvSpPr>
            <xdr:cNvPr id="7201" name="Button 1075" descr="OK" hidden="1">
              <a:extLst>
                <a:ext uri="{63B3BB69-23CF-44E3-9099-C40C66FF867C}">
                  <a14:compatExt spid="_x0000_s7201"/>
                </a:ext>
                <a:ext uri="{FF2B5EF4-FFF2-40B4-BE49-F238E27FC236}">
                  <a16:creationId xmlns:a16="http://schemas.microsoft.com/office/drawing/2014/main" id="{00000000-0008-0000-0700-00002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19</xdr:row>
          <xdr:rowOff>123825</xdr:rowOff>
        </xdr:from>
        <xdr:to>
          <xdr:col>4</xdr:col>
          <xdr:colOff>438150</xdr:colOff>
          <xdr:row>22</xdr:row>
          <xdr:rowOff>38100</xdr:rowOff>
        </xdr:to>
        <xdr:sp macro="" textlink="">
          <xdr:nvSpPr>
            <xdr:cNvPr id="7202" name="Button 1101" descr="OK" hidden="1">
              <a:extLst>
                <a:ext uri="{63B3BB69-23CF-44E3-9099-C40C66FF867C}">
                  <a14:compatExt spid="_x0000_s7202"/>
                </a:ext>
                <a:ext uri="{FF2B5EF4-FFF2-40B4-BE49-F238E27FC236}">
                  <a16:creationId xmlns:a16="http://schemas.microsoft.com/office/drawing/2014/main" id="{00000000-0008-0000-0700-00002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180975</xdr:colOff>
          <xdr:row>36</xdr:row>
          <xdr:rowOff>38100</xdr:rowOff>
        </xdr:from>
        <xdr:to>
          <xdr:col>3</xdr:col>
          <xdr:colOff>257175</xdr:colOff>
          <xdr:row>39</xdr:row>
          <xdr:rowOff>9525</xdr:rowOff>
        </xdr:to>
        <xdr:sp macro="" textlink="">
          <xdr:nvSpPr>
            <xdr:cNvPr id="7203" name="Button 1104" descr="OK" hidden="1">
              <a:extLst>
                <a:ext uri="{63B3BB69-23CF-44E3-9099-C40C66FF867C}">
                  <a14:compatExt spid="_x0000_s7203"/>
                </a:ext>
                <a:ext uri="{FF2B5EF4-FFF2-40B4-BE49-F238E27FC236}">
                  <a16:creationId xmlns:a16="http://schemas.microsoft.com/office/drawing/2014/main" id="{00000000-0008-0000-0700-00002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56</xdr:row>
          <xdr:rowOff>104775</xdr:rowOff>
        </xdr:from>
        <xdr:to>
          <xdr:col>4</xdr:col>
          <xdr:colOff>238125</xdr:colOff>
          <xdr:row>59</xdr:row>
          <xdr:rowOff>104775</xdr:rowOff>
        </xdr:to>
        <xdr:sp macro="" textlink="">
          <xdr:nvSpPr>
            <xdr:cNvPr id="7204" name="Button 1105" descr="OK" hidden="1">
              <a:extLst>
                <a:ext uri="{63B3BB69-23CF-44E3-9099-C40C66FF867C}">
                  <a14:compatExt spid="_x0000_s7204"/>
                </a:ext>
                <a:ext uri="{FF2B5EF4-FFF2-40B4-BE49-F238E27FC236}">
                  <a16:creationId xmlns:a16="http://schemas.microsoft.com/office/drawing/2014/main" id="{00000000-0008-0000-0700-00002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200025</xdr:colOff>
          <xdr:row>68</xdr:row>
          <xdr:rowOff>38100</xdr:rowOff>
        </xdr:from>
        <xdr:to>
          <xdr:col>3</xdr:col>
          <xdr:colOff>276225</xdr:colOff>
          <xdr:row>71</xdr:row>
          <xdr:rowOff>9525</xdr:rowOff>
        </xdr:to>
        <xdr:sp macro="" textlink="">
          <xdr:nvSpPr>
            <xdr:cNvPr id="7205" name="Button 1106" descr="OK" hidden="1">
              <a:extLst>
                <a:ext uri="{63B3BB69-23CF-44E3-9099-C40C66FF867C}">
                  <a14:compatExt spid="_x0000_s7205"/>
                </a:ext>
                <a:ext uri="{FF2B5EF4-FFF2-40B4-BE49-F238E27FC236}">
                  <a16:creationId xmlns:a16="http://schemas.microsoft.com/office/drawing/2014/main" id="{00000000-0008-0000-0700-00002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676275</xdr:colOff>
          <xdr:row>78</xdr:row>
          <xdr:rowOff>161925</xdr:rowOff>
        </xdr:from>
        <xdr:to>
          <xdr:col>3</xdr:col>
          <xdr:colOff>571500</xdr:colOff>
          <xdr:row>81</xdr:row>
          <xdr:rowOff>152400</xdr:rowOff>
        </xdr:to>
        <xdr:sp macro="" textlink="">
          <xdr:nvSpPr>
            <xdr:cNvPr id="7206" name="Button 1107" descr="OK" hidden="1">
              <a:extLst>
                <a:ext uri="{63B3BB69-23CF-44E3-9099-C40C66FF867C}">
                  <a14:compatExt spid="_x0000_s7206"/>
                </a:ext>
                <a:ext uri="{FF2B5EF4-FFF2-40B4-BE49-F238E27FC236}">
                  <a16:creationId xmlns:a16="http://schemas.microsoft.com/office/drawing/2014/main" id="{00000000-0008-0000-0700-00002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190500</xdr:colOff>
          <xdr:row>97</xdr:row>
          <xdr:rowOff>95250</xdr:rowOff>
        </xdr:from>
        <xdr:to>
          <xdr:col>3</xdr:col>
          <xdr:colOff>276225</xdr:colOff>
          <xdr:row>100</xdr:row>
          <xdr:rowOff>104775</xdr:rowOff>
        </xdr:to>
        <xdr:sp macro="" textlink="">
          <xdr:nvSpPr>
            <xdr:cNvPr id="7207" name="Button 1108" descr="OK" hidden="1">
              <a:extLst>
                <a:ext uri="{63B3BB69-23CF-44E3-9099-C40C66FF867C}">
                  <a14:compatExt spid="_x0000_s7207"/>
                </a:ext>
                <a:ext uri="{FF2B5EF4-FFF2-40B4-BE49-F238E27FC236}">
                  <a16:creationId xmlns:a16="http://schemas.microsoft.com/office/drawing/2014/main" id="{00000000-0008-0000-0700-00002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381000</xdr:colOff>
          <xdr:row>108</xdr:row>
          <xdr:rowOff>133350</xdr:rowOff>
        </xdr:from>
        <xdr:to>
          <xdr:col>3</xdr:col>
          <xdr:colOff>400050</xdr:colOff>
          <xdr:row>111</xdr:row>
          <xdr:rowOff>152400</xdr:rowOff>
        </xdr:to>
        <xdr:sp macro="" textlink="">
          <xdr:nvSpPr>
            <xdr:cNvPr id="7208" name="Button 1109" descr="OK" hidden="1">
              <a:extLst>
                <a:ext uri="{63B3BB69-23CF-44E3-9099-C40C66FF867C}">
                  <a14:compatExt spid="_x0000_s7208"/>
                </a:ext>
                <a:ext uri="{FF2B5EF4-FFF2-40B4-BE49-F238E27FC236}">
                  <a16:creationId xmlns:a16="http://schemas.microsoft.com/office/drawing/2014/main" id="{00000000-0008-0000-0700-00002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52</xdr:row>
          <xdr:rowOff>114300</xdr:rowOff>
        </xdr:from>
        <xdr:to>
          <xdr:col>14</xdr:col>
          <xdr:colOff>247650</xdr:colOff>
          <xdr:row>54</xdr:row>
          <xdr:rowOff>85725</xdr:rowOff>
        </xdr:to>
        <xdr:sp macro="" textlink="">
          <xdr:nvSpPr>
            <xdr:cNvPr id="7209" name="Button 1081" descr="OK" hidden="1">
              <a:extLst>
                <a:ext uri="{63B3BB69-23CF-44E3-9099-C40C66FF867C}">
                  <a14:compatExt spid="_x0000_s7209"/>
                </a:ext>
                <a:ext uri="{FF2B5EF4-FFF2-40B4-BE49-F238E27FC236}">
                  <a16:creationId xmlns:a16="http://schemas.microsoft.com/office/drawing/2014/main" id="{00000000-0008-0000-0700-00002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647700</xdr:colOff>
          <xdr:row>79</xdr:row>
          <xdr:rowOff>57150</xdr:rowOff>
        </xdr:from>
        <xdr:to>
          <xdr:col>14</xdr:col>
          <xdr:colOff>400050</xdr:colOff>
          <xdr:row>81</xdr:row>
          <xdr:rowOff>171450</xdr:rowOff>
        </xdr:to>
        <xdr:sp macro="" textlink="">
          <xdr:nvSpPr>
            <xdr:cNvPr id="7210" name="Button 1084" descr="OK" hidden="1">
              <a:extLst>
                <a:ext uri="{63B3BB69-23CF-44E3-9099-C40C66FF867C}">
                  <a14:compatExt spid="_x0000_s7210"/>
                </a:ext>
                <a:ext uri="{FF2B5EF4-FFF2-40B4-BE49-F238E27FC236}">
                  <a16:creationId xmlns:a16="http://schemas.microsoft.com/office/drawing/2014/main" id="{00000000-0008-0000-0700-00002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352425</xdr:colOff>
          <xdr:row>123</xdr:row>
          <xdr:rowOff>123825</xdr:rowOff>
        </xdr:from>
        <xdr:to>
          <xdr:col>3</xdr:col>
          <xdr:colOff>428625</xdr:colOff>
          <xdr:row>126</xdr:row>
          <xdr:rowOff>85725</xdr:rowOff>
        </xdr:to>
        <xdr:sp macro="" textlink="">
          <xdr:nvSpPr>
            <xdr:cNvPr id="7211" name="Button 1110" descr="OK" hidden="1">
              <a:extLst>
                <a:ext uri="{63B3BB69-23CF-44E3-9099-C40C66FF867C}">
                  <a14:compatExt spid="_x0000_s7211"/>
                </a:ext>
                <a:ext uri="{FF2B5EF4-FFF2-40B4-BE49-F238E27FC236}">
                  <a16:creationId xmlns:a16="http://schemas.microsoft.com/office/drawing/2014/main" id="{00000000-0008-0000-0700-00002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171450</xdr:colOff>
          <xdr:row>139</xdr:row>
          <xdr:rowOff>171450</xdr:rowOff>
        </xdr:from>
        <xdr:to>
          <xdr:col>3</xdr:col>
          <xdr:colOff>257175</xdr:colOff>
          <xdr:row>142</xdr:row>
          <xdr:rowOff>133350</xdr:rowOff>
        </xdr:to>
        <xdr:sp macro="" textlink="">
          <xdr:nvSpPr>
            <xdr:cNvPr id="7212" name="Button 1111" descr="OK" hidden="1">
              <a:extLst>
                <a:ext uri="{63B3BB69-23CF-44E3-9099-C40C66FF867C}">
                  <a14:compatExt spid="_x0000_s7212"/>
                </a:ext>
                <a:ext uri="{FF2B5EF4-FFF2-40B4-BE49-F238E27FC236}">
                  <a16:creationId xmlns:a16="http://schemas.microsoft.com/office/drawing/2014/main" id="{00000000-0008-0000-0700-00002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9</xdr:col>
      <xdr:colOff>430200</xdr:colOff>
      <xdr:row>88</xdr:row>
      <xdr:rowOff>172800</xdr:rowOff>
    </xdr:from>
    <xdr:to>
      <xdr:col>17</xdr:col>
      <xdr:colOff>568080</xdr:colOff>
      <xdr:row>106</xdr:row>
      <xdr:rowOff>8640</xdr:rowOff>
    </xdr:to>
    <xdr:graphicFrame macro="">
      <xdr:nvGraphicFramePr>
        <xdr:cNvPr id="36" name="Chart 1085">
          <a:extLst>
            <a:ext uri="{FF2B5EF4-FFF2-40B4-BE49-F238E27FC236}">
              <a16:creationId xmlns:a16="http://schemas.microsoft.com/office/drawing/2014/main" id="{00000000-0008-0000-0700-00002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371475</xdr:colOff>
          <xdr:row>106</xdr:row>
          <xdr:rowOff>209550</xdr:rowOff>
        </xdr:from>
        <xdr:to>
          <xdr:col>13</xdr:col>
          <xdr:colOff>657225</xdr:colOff>
          <xdr:row>109</xdr:row>
          <xdr:rowOff>57150</xdr:rowOff>
        </xdr:to>
        <xdr:sp macro="" textlink="">
          <xdr:nvSpPr>
            <xdr:cNvPr id="7213" name="Button 1117" descr="OK" hidden="1">
              <a:extLst>
                <a:ext uri="{63B3BB69-23CF-44E3-9099-C40C66FF867C}">
                  <a14:compatExt spid="_x0000_s7213"/>
                </a:ext>
                <a:ext uri="{FF2B5EF4-FFF2-40B4-BE49-F238E27FC236}">
                  <a16:creationId xmlns:a16="http://schemas.microsoft.com/office/drawing/2014/main" id="{00000000-0008-0000-0700-00002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704850</xdr:colOff>
          <xdr:row>132</xdr:row>
          <xdr:rowOff>180975</xdr:rowOff>
        </xdr:from>
        <xdr:to>
          <xdr:col>12</xdr:col>
          <xdr:colOff>333375</xdr:colOff>
          <xdr:row>135</xdr:row>
          <xdr:rowOff>57150</xdr:rowOff>
        </xdr:to>
        <xdr:sp macro="" textlink="">
          <xdr:nvSpPr>
            <xdr:cNvPr id="7214" name="Button 1088" descr="OK" hidden="1">
              <a:extLst>
                <a:ext uri="{63B3BB69-23CF-44E3-9099-C40C66FF867C}">
                  <a14:compatExt spid="_x0000_s7214"/>
                </a:ext>
                <a:ext uri="{FF2B5EF4-FFF2-40B4-BE49-F238E27FC236}">
                  <a16:creationId xmlns:a16="http://schemas.microsoft.com/office/drawing/2014/main" id="{00000000-0008-0000-0700-00002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151</xdr:row>
          <xdr:rowOff>123825</xdr:rowOff>
        </xdr:from>
        <xdr:to>
          <xdr:col>3</xdr:col>
          <xdr:colOff>200025</xdr:colOff>
          <xdr:row>154</xdr:row>
          <xdr:rowOff>123825</xdr:rowOff>
        </xdr:to>
        <xdr:sp macro="" textlink="">
          <xdr:nvSpPr>
            <xdr:cNvPr id="7215" name="Button 1112" descr="OK" hidden="1">
              <a:extLst>
                <a:ext uri="{63B3BB69-23CF-44E3-9099-C40C66FF867C}">
                  <a14:compatExt spid="_x0000_s7215"/>
                </a:ext>
                <a:ext uri="{FF2B5EF4-FFF2-40B4-BE49-F238E27FC236}">
                  <a16:creationId xmlns:a16="http://schemas.microsoft.com/office/drawing/2014/main" id="{00000000-0008-0000-0700-00002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685800</xdr:colOff>
          <xdr:row>143</xdr:row>
          <xdr:rowOff>133350</xdr:rowOff>
        </xdr:from>
        <xdr:to>
          <xdr:col>11</xdr:col>
          <xdr:colOff>304800</xdr:colOff>
          <xdr:row>146</xdr:row>
          <xdr:rowOff>238125</xdr:rowOff>
        </xdr:to>
        <xdr:sp macro="" textlink="">
          <xdr:nvSpPr>
            <xdr:cNvPr id="7216" name="Button 1089" descr="OK" hidden="1">
              <a:extLst>
                <a:ext uri="{63B3BB69-23CF-44E3-9099-C40C66FF867C}">
                  <a14:compatExt spid="_x0000_s7216"/>
                </a:ext>
                <a:ext uri="{FF2B5EF4-FFF2-40B4-BE49-F238E27FC236}">
                  <a16:creationId xmlns:a16="http://schemas.microsoft.com/office/drawing/2014/main" id="{00000000-0008-0000-0700-00003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8</xdr:col>
      <xdr:colOff>389520</xdr:colOff>
      <xdr:row>153</xdr:row>
      <xdr:rowOff>37080</xdr:rowOff>
    </xdr:from>
    <xdr:to>
      <xdr:col>14</xdr:col>
      <xdr:colOff>369000</xdr:colOff>
      <xdr:row>166</xdr:row>
      <xdr:rowOff>58680</xdr:rowOff>
    </xdr:to>
    <xdr:graphicFrame macro="">
      <xdr:nvGraphicFramePr>
        <xdr:cNvPr id="37" name="Chart 1126">
          <a:extLst>
            <a:ext uri="{FF2B5EF4-FFF2-40B4-BE49-F238E27FC236}">
              <a16:creationId xmlns:a16="http://schemas.microsoft.com/office/drawing/2014/main" id="{00000000-0008-0000-0700-00002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190500</xdr:colOff>
          <xdr:row>167</xdr:row>
          <xdr:rowOff>123825</xdr:rowOff>
        </xdr:from>
        <xdr:to>
          <xdr:col>11</xdr:col>
          <xdr:colOff>619125</xdr:colOff>
          <xdr:row>171</xdr:row>
          <xdr:rowOff>57150</xdr:rowOff>
        </xdr:to>
        <xdr:sp macro="" textlink="">
          <xdr:nvSpPr>
            <xdr:cNvPr id="7217" name="Button 1127" descr="OK" hidden="1">
              <a:extLst>
                <a:ext uri="{63B3BB69-23CF-44E3-9099-C40C66FF867C}">
                  <a14:compatExt spid="_x0000_s7217"/>
                </a:ext>
                <a:ext uri="{FF2B5EF4-FFF2-40B4-BE49-F238E27FC236}">
                  <a16:creationId xmlns:a16="http://schemas.microsoft.com/office/drawing/2014/main" id="{00000000-0008-0000-0700-00003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164</xdr:row>
          <xdr:rowOff>9525</xdr:rowOff>
        </xdr:from>
        <xdr:to>
          <xdr:col>4</xdr:col>
          <xdr:colOff>295275</xdr:colOff>
          <xdr:row>166</xdr:row>
          <xdr:rowOff>180975</xdr:rowOff>
        </xdr:to>
        <xdr:sp macro="" textlink="">
          <xdr:nvSpPr>
            <xdr:cNvPr id="7218" name="Button 1123" descr="OK" hidden="1">
              <a:extLst>
                <a:ext uri="{63B3BB69-23CF-44E3-9099-C40C66FF867C}">
                  <a14:compatExt spid="_x0000_s7218"/>
                </a:ext>
                <a:ext uri="{FF2B5EF4-FFF2-40B4-BE49-F238E27FC236}">
                  <a16:creationId xmlns:a16="http://schemas.microsoft.com/office/drawing/2014/main" id="{00000000-0008-0000-0700-00003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180</xdr:row>
          <xdr:rowOff>171450</xdr:rowOff>
        </xdr:from>
        <xdr:to>
          <xdr:col>11</xdr:col>
          <xdr:colOff>209550</xdr:colOff>
          <xdr:row>184</xdr:row>
          <xdr:rowOff>85725</xdr:rowOff>
        </xdr:to>
        <xdr:sp macro="" textlink="">
          <xdr:nvSpPr>
            <xdr:cNvPr id="7219" name="Button 1090" descr="OK" hidden="1">
              <a:extLst>
                <a:ext uri="{63B3BB69-23CF-44E3-9099-C40C66FF867C}">
                  <a14:compatExt spid="_x0000_s7219"/>
                </a:ext>
                <a:ext uri="{FF2B5EF4-FFF2-40B4-BE49-F238E27FC236}">
                  <a16:creationId xmlns:a16="http://schemas.microsoft.com/office/drawing/2014/main" id="{00000000-0008-0000-0700-00003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8</xdr:col>
      <xdr:colOff>289440</xdr:colOff>
      <xdr:row>190</xdr:row>
      <xdr:rowOff>102240</xdr:rowOff>
    </xdr:from>
    <xdr:to>
      <xdr:col>15</xdr:col>
      <xdr:colOff>283320</xdr:colOff>
      <xdr:row>206</xdr:row>
      <xdr:rowOff>144360</xdr:rowOff>
    </xdr:to>
    <xdr:graphicFrame macro="">
      <xdr:nvGraphicFramePr>
        <xdr:cNvPr id="38" name="Chart 1091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190500</xdr:colOff>
          <xdr:row>207</xdr:row>
          <xdr:rowOff>123825</xdr:rowOff>
        </xdr:from>
        <xdr:to>
          <xdr:col>11</xdr:col>
          <xdr:colOff>238125</xdr:colOff>
          <xdr:row>211</xdr:row>
          <xdr:rowOff>66675</xdr:rowOff>
        </xdr:to>
        <xdr:sp macro="" textlink="">
          <xdr:nvSpPr>
            <xdr:cNvPr id="7220" name="Button 1118" descr="OK" hidden="1">
              <a:extLst>
                <a:ext uri="{63B3BB69-23CF-44E3-9099-C40C66FF867C}">
                  <a14:compatExt spid="_x0000_s7220"/>
                </a:ext>
                <a:ext uri="{FF2B5EF4-FFF2-40B4-BE49-F238E27FC236}">
                  <a16:creationId xmlns:a16="http://schemas.microsoft.com/office/drawing/2014/main" id="{00000000-0008-0000-0700-00003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638175</xdr:colOff>
          <xdr:row>232</xdr:row>
          <xdr:rowOff>28575</xdr:rowOff>
        </xdr:from>
        <xdr:to>
          <xdr:col>11</xdr:col>
          <xdr:colOff>752475</xdr:colOff>
          <xdr:row>235</xdr:row>
          <xdr:rowOff>114300</xdr:rowOff>
        </xdr:to>
        <xdr:sp macro="" textlink="">
          <xdr:nvSpPr>
            <xdr:cNvPr id="7221" name="Button 1094" descr="OK" hidden="1">
              <a:extLst>
                <a:ext uri="{63B3BB69-23CF-44E3-9099-C40C66FF867C}">
                  <a14:compatExt spid="_x0000_s7221"/>
                </a:ext>
                <a:ext uri="{FF2B5EF4-FFF2-40B4-BE49-F238E27FC236}">
                  <a16:creationId xmlns:a16="http://schemas.microsoft.com/office/drawing/2014/main" id="{00000000-0008-0000-0700-00003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244</xdr:row>
          <xdr:rowOff>161925</xdr:rowOff>
        </xdr:from>
        <xdr:to>
          <xdr:col>10</xdr:col>
          <xdr:colOff>723900</xdr:colOff>
          <xdr:row>247</xdr:row>
          <xdr:rowOff>171450</xdr:rowOff>
        </xdr:to>
        <xdr:sp macro="" textlink="">
          <xdr:nvSpPr>
            <xdr:cNvPr id="7222" name="Button 1095" descr="OK" hidden="1">
              <a:extLst>
                <a:ext uri="{63B3BB69-23CF-44E3-9099-C40C66FF867C}">
                  <a14:compatExt spid="_x0000_s7222"/>
                </a:ext>
                <a:ext uri="{FF2B5EF4-FFF2-40B4-BE49-F238E27FC236}">
                  <a16:creationId xmlns:a16="http://schemas.microsoft.com/office/drawing/2014/main" id="{00000000-0008-0000-0700-00003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161925</xdr:colOff>
          <xdr:row>262</xdr:row>
          <xdr:rowOff>28575</xdr:rowOff>
        </xdr:from>
        <xdr:to>
          <xdr:col>12</xdr:col>
          <xdr:colOff>361950</xdr:colOff>
          <xdr:row>265</xdr:row>
          <xdr:rowOff>9525</xdr:rowOff>
        </xdr:to>
        <xdr:sp macro="" textlink="">
          <xdr:nvSpPr>
            <xdr:cNvPr id="7168" name="Button 1096" descr="OK" hidden="1">
              <a:extLst>
                <a:ext uri="{63B3BB69-23CF-44E3-9099-C40C66FF867C}">
                  <a14:compatExt spid="_x0000_s7168"/>
                </a:ext>
                <a:ext uri="{FF2B5EF4-FFF2-40B4-BE49-F238E27FC236}">
                  <a16:creationId xmlns:a16="http://schemas.microsoft.com/office/drawing/2014/main" id="{00000000-0008-0000-0700-00000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657225</xdr:colOff>
          <xdr:row>281</xdr:row>
          <xdr:rowOff>133350</xdr:rowOff>
        </xdr:from>
        <xdr:to>
          <xdr:col>11</xdr:col>
          <xdr:colOff>676275</xdr:colOff>
          <xdr:row>284</xdr:row>
          <xdr:rowOff>104775</xdr:rowOff>
        </xdr:to>
        <xdr:sp macro="" textlink="">
          <xdr:nvSpPr>
            <xdr:cNvPr id="7169" name="Button 1132" descr="OK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7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8</xdr:col>
      <xdr:colOff>444960</xdr:colOff>
      <xdr:row>266</xdr:row>
      <xdr:rowOff>139320</xdr:rowOff>
    </xdr:from>
    <xdr:to>
      <xdr:col>14</xdr:col>
      <xdr:colOff>444600</xdr:colOff>
      <xdr:row>281</xdr:row>
      <xdr:rowOff>82800</xdr:rowOff>
    </xdr:to>
    <xdr:graphicFrame macro="">
      <xdr:nvGraphicFramePr>
        <xdr:cNvPr id="39" name="Chart 1155">
          <a:extLst>
            <a:ext uri="{FF2B5EF4-FFF2-40B4-BE49-F238E27FC236}">
              <a16:creationId xmlns:a16="http://schemas.microsoft.com/office/drawing/2014/main" id="{00000000-0008-0000-0700-00002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590550</xdr:colOff>
          <xdr:row>297</xdr:row>
          <xdr:rowOff>142875</xdr:rowOff>
        </xdr:from>
        <xdr:to>
          <xdr:col>11</xdr:col>
          <xdr:colOff>523875</xdr:colOff>
          <xdr:row>300</xdr:row>
          <xdr:rowOff>114300</xdr:rowOff>
        </xdr:to>
        <xdr:sp macro="" textlink="">
          <xdr:nvSpPr>
            <xdr:cNvPr id="7170" name="Button 1097" descr="OK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7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552450</xdr:colOff>
          <xdr:row>311</xdr:row>
          <xdr:rowOff>76200</xdr:rowOff>
        </xdr:from>
        <xdr:to>
          <xdr:col>12</xdr:col>
          <xdr:colOff>695325</xdr:colOff>
          <xdr:row>314</xdr:row>
          <xdr:rowOff>28575</xdr:rowOff>
        </xdr:to>
        <xdr:sp macro="" textlink="">
          <xdr:nvSpPr>
            <xdr:cNvPr id="7171" name="Button 1099" descr="OK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7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314325</xdr:colOff>
          <xdr:row>332</xdr:row>
          <xdr:rowOff>9525</xdr:rowOff>
        </xdr:from>
        <xdr:to>
          <xdr:col>11</xdr:col>
          <xdr:colOff>619125</xdr:colOff>
          <xdr:row>334</xdr:row>
          <xdr:rowOff>152400</xdr:rowOff>
        </xdr:to>
        <xdr:sp macro="" textlink="">
          <xdr:nvSpPr>
            <xdr:cNvPr id="7172" name="Button 1150" descr="OK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7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8</xdr:col>
      <xdr:colOff>117360</xdr:colOff>
      <xdr:row>317</xdr:row>
      <xdr:rowOff>74160</xdr:rowOff>
    </xdr:from>
    <xdr:to>
      <xdr:col>13</xdr:col>
      <xdr:colOff>470520</xdr:colOff>
      <xdr:row>331</xdr:row>
      <xdr:rowOff>108360</xdr:rowOff>
    </xdr:to>
    <xdr:graphicFrame macro="">
      <xdr:nvGraphicFramePr>
        <xdr:cNvPr id="40" name="Chart 1154">
          <a:extLst>
            <a:ext uri="{FF2B5EF4-FFF2-40B4-BE49-F238E27FC236}">
              <a16:creationId xmlns:a16="http://schemas.microsoft.com/office/drawing/2014/main" id="{00000000-0008-0000-0700-00002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8</xdr:col>
      <xdr:colOff>359640</xdr:colOff>
      <xdr:row>338</xdr:row>
      <xdr:rowOff>92520</xdr:rowOff>
    </xdr:from>
    <xdr:to>
      <xdr:col>13</xdr:col>
      <xdr:colOff>653040</xdr:colOff>
      <xdr:row>352</xdr:row>
      <xdr:rowOff>11880</xdr:rowOff>
    </xdr:to>
    <xdr:graphicFrame macro="">
      <xdr:nvGraphicFramePr>
        <xdr:cNvPr id="41" name="Chart 1148"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209550</xdr:colOff>
          <xdr:row>352</xdr:row>
          <xdr:rowOff>133350</xdr:rowOff>
        </xdr:from>
        <xdr:to>
          <xdr:col>11</xdr:col>
          <xdr:colOff>514350</xdr:colOff>
          <xdr:row>355</xdr:row>
          <xdr:rowOff>85725</xdr:rowOff>
        </xdr:to>
        <xdr:sp macro="" textlink="">
          <xdr:nvSpPr>
            <xdr:cNvPr id="7173" name="Button 1151" descr="OK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7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7</xdr:col>
      <xdr:colOff>406440</xdr:colOff>
      <xdr:row>360</xdr:row>
      <xdr:rowOff>18720</xdr:rowOff>
    </xdr:from>
    <xdr:to>
      <xdr:col>11</xdr:col>
      <xdr:colOff>529920</xdr:colOff>
      <xdr:row>375</xdr:row>
      <xdr:rowOff>46800</xdr:rowOff>
    </xdr:to>
    <xdr:graphicFrame macro="">
      <xdr:nvGraphicFramePr>
        <xdr:cNvPr id="42" name="Chart 1149">
          <a:extLst>
            <a:ext uri="{FF2B5EF4-FFF2-40B4-BE49-F238E27FC236}">
              <a16:creationId xmlns:a16="http://schemas.microsoft.com/office/drawing/2014/main" id="{00000000-0008-0000-0700-00002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409575</xdr:colOff>
          <xdr:row>376</xdr:row>
          <xdr:rowOff>47625</xdr:rowOff>
        </xdr:from>
        <xdr:to>
          <xdr:col>11</xdr:col>
          <xdr:colOff>714375</xdr:colOff>
          <xdr:row>379</xdr:row>
          <xdr:rowOff>0</xdr:rowOff>
        </xdr:to>
        <xdr:sp macro="" textlink="">
          <xdr:nvSpPr>
            <xdr:cNvPr id="7174" name="Button 1152" descr="OK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7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11</xdr:col>
      <xdr:colOff>49680</xdr:colOff>
      <xdr:row>360</xdr:row>
      <xdr:rowOff>37080</xdr:rowOff>
    </xdr:from>
    <xdr:to>
      <xdr:col>15</xdr:col>
      <xdr:colOff>349560</xdr:colOff>
      <xdr:row>375</xdr:row>
      <xdr:rowOff>46440</xdr:rowOff>
    </xdr:to>
    <xdr:graphicFrame macro="">
      <xdr:nvGraphicFramePr>
        <xdr:cNvPr id="43" name="Chart 1156">
          <a:extLst>
            <a:ext uri="{FF2B5EF4-FFF2-40B4-BE49-F238E27FC236}">
              <a16:creationId xmlns:a16="http://schemas.microsoft.com/office/drawing/2014/main" id="{00000000-0008-0000-0700-00002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11</xdr:col>
      <xdr:colOff>568080</xdr:colOff>
      <xdr:row>360</xdr:row>
      <xdr:rowOff>65160</xdr:rowOff>
    </xdr:from>
    <xdr:to>
      <xdr:col>12</xdr:col>
      <xdr:colOff>673560</xdr:colOff>
      <xdr:row>361</xdr:row>
      <xdr:rowOff>32040</xdr:rowOff>
    </xdr:to>
    <xdr:sp macro="" textlink="">
      <xdr:nvSpPr>
        <xdr:cNvPr id="44" name="Text 1157">
          <a:extLst>
            <a:ext uri="{FF2B5EF4-FFF2-40B4-BE49-F238E27FC236}">
              <a16:creationId xmlns:a16="http://schemas.microsoft.com/office/drawing/2014/main" id="{00000000-0008-0000-0700-00002C000000}"/>
            </a:ext>
          </a:extLst>
        </xdr:cNvPr>
        <xdr:cNvSpPr/>
      </xdr:nvSpPr>
      <xdr:spPr>
        <a:xfrm>
          <a:off x="9509040" y="71670240"/>
          <a:ext cx="918000" cy="15300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 anchor="t">
          <a:spAutoFit/>
        </a:bodyPr>
        <a:lstStyle/>
        <a:p>
          <a:r>
            <a:rPr lang="en-GB" sz="800" b="1" u="none" strike="noStrike">
              <a:solidFill>
                <a:srgbClr val="FFFFFF"/>
              </a:solidFill>
              <a:effectLst/>
              <a:uFillTx/>
              <a:latin typeface="Times New Roman"/>
            </a:rPr>
            <a:t>Top of Reservoir</a:t>
          </a:r>
          <a:endParaRPr lang="en-GB" sz="800" b="0" u="none" strike="noStrike">
            <a:effectLst/>
            <a:uFillTx/>
            <a:latin typeface="Times New Roman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409575</xdr:colOff>
          <xdr:row>22</xdr:row>
          <xdr:rowOff>114300</xdr:rowOff>
        </xdr:from>
        <xdr:to>
          <xdr:col>27</xdr:col>
          <xdr:colOff>161925</xdr:colOff>
          <xdr:row>24</xdr:row>
          <xdr:rowOff>180975</xdr:rowOff>
        </xdr:to>
        <xdr:sp macro="" textlink="">
          <xdr:nvSpPr>
            <xdr:cNvPr id="7175" name="Button 1153" descr="OK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00000000-0008-0000-0700-00000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200025</xdr:colOff>
          <xdr:row>7</xdr:row>
          <xdr:rowOff>38100</xdr:rowOff>
        </xdr:from>
        <xdr:to>
          <xdr:col>3</xdr:col>
          <xdr:colOff>276225</xdr:colOff>
          <xdr:row>10</xdr:row>
          <xdr:rowOff>9525</xdr:rowOff>
        </xdr:to>
        <xdr:sp macro="" textlink="">
          <xdr:nvSpPr>
            <xdr:cNvPr id="7199" name="Button 1100" hidden="1">
              <a:extLst>
                <a:ext uri="{63B3BB69-23CF-44E3-9099-C40C66FF867C}">
                  <a14:compatExt spid="_x0000_s7199"/>
                </a:ext>
                <a:ext uri="{FF2B5EF4-FFF2-40B4-BE49-F238E27FC236}">
                  <a16:creationId xmlns:a16="http://schemas.microsoft.com/office/drawing/2014/main" id="{00000000-0008-0000-0700-00001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209550</xdr:colOff>
          <xdr:row>22</xdr:row>
          <xdr:rowOff>152400</xdr:rowOff>
        </xdr:from>
        <xdr:to>
          <xdr:col>11</xdr:col>
          <xdr:colOff>723900</xdr:colOff>
          <xdr:row>25</xdr:row>
          <xdr:rowOff>38100</xdr:rowOff>
        </xdr:to>
        <xdr:sp macro="" textlink="">
          <xdr:nvSpPr>
            <xdr:cNvPr id="7198" name="Button 1075" hidden="1">
              <a:extLst>
                <a:ext uri="{63B3BB69-23CF-44E3-9099-C40C66FF867C}">
                  <a14:compatExt spid="_x0000_s7198"/>
                </a:ext>
                <a:ext uri="{FF2B5EF4-FFF2-40B4-BE49-F238E27FC236}">
                  <a16:creationId xmlns:a16="http://schemas.microsoft.com/office/drawing/2014/main" id="{00000000-0008-0000-0700-00001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95250</xdr:colOff>
          <xdr:row>19</xdr:row>
          <xdr:rowOff>123825</xdr:rowOff>
        </xdr:from>
        <xdr:to>
          <xdr:col>4</xdr:col>
          <xdr:colOff>438150</xdr:colOff>
          <xdr:row>22</xdr:row>
          <xdr:rowOff>38100</xdr:rowOff>
        </xdr:to>
        <xdr:sp macro="" textlink="">
          <xdr:nvSpPr>
            <xdr:cNvPr id="7197" name="Button 1101" hidden="1">
              <a:extLst>
                <a:ext uri="{63B3BB69-23CF-44E3-9099-C40C66FF867C}">
                  <a14:compatExt spid="_x0000_s7197"/>
                </a:ext>
                <a:ext uri="{FF2B5EF4-FFF2-40B4-BE49-F238E27FC236}">
                  <a16:creationId xmlns:a16="http://schemas.microsoft.com/office/drawing/2014/main" id="{00000000-0008-0000-0700-00001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180975</xdr:colOff>
          <xdr:row>36</xdr:row>
          <xdr:rowOff>38100</xdr:rowOff>
        </xdr:from>
        <xdr:to>
          <xdr:col>3</xdr:col>
          <xdr:colOff>257175</xdr:colOff>
          <xdr:row>39</xdr:row>
          <xdr:rowOff>9525</xdr:rowOff>
        </xdr:to>
        <xdr:sp macro="" textlink="">
          <xdr:nvSpPr>
            <xdr:cNvPr id="7196" name="Button 1104" hidden="1">
              <a:extLst>
                <a:ext uri="{63B3BB69-23CF-44E3-9099-C40C66FF867C}">
                  <a14:compatExt spid="_x0000_s7196"/>
                </a:ext>
                <a:ext uri="{FF2B5EF4-FFF2-40B4-BE49-F238E27FC236}">
                  <a16:creationId xmlns:a16="http://schemas.microsoft.com/office/drawing/2014/main" id="{00000000-0008-0000-0700-00001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161925</xdr:colOff>
          <xdr:row>56</xdr:row>
          <xdr:rowOff>104775</xdr:rowOff>
        </xdr:from>
        <xdr:to>
          <xdr:col>4</xdr:col>
          <xdr:colOff>238125</xdr:colOff>
          <xdr:row>59</xdr:row>
          <xdr:rowOff>104775</xdr:rowOff>
        </xdr:to>
        <xdr:sp macro="" textlink="">
          <xdr:nvSpPr>
            <xdr:cNvPr id="7195" name="Button 1105" hidden="1">
              <a:extLst>
                <a:ext uri="{63B3BB69-23CF-44E3-9099-C40C66FF867C}">
                  <a14:compatExt spid="_x0000_s7195"/>
                </a:ext>
                <a:ext uri="{FF2B5EF4-FFF2-40B4-BE49-F238E27FC236}">
                  <a16:creationId xmlns:a16="http://schemas.microsoft.com/office/drawing/2014/main" id="{00000000-0008-0000-0700-00001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200025</xdr:colOff>
          <xdr:row>68</xdr:row>
          <xdr:rowOff>38100</xdr:rowOff>
        </xdr:from>
        <xdr:to>
          <xdr:col>3</xdr:col>
          <xdr:colOff>276225</xdr:colOff>
          <xdr:row>71</xdr:row>
          <xdr:rowOff>9525</xdr:rowOff>
        </xdr:to>
        <xdr:sp macro="" textlink="">
          <xdr:nvSpPr>
            <xdr:cNvPr id="7194" name="Button 1106" hidden="1">
              <a:extLst>
                <a:ext uri="{63B3BB69-23CF-44E3-9099-C40C66FF867C}">
                  <a14:compatExt spid="_x0000_s7194"/>
                </a:ext>
                <a:ext uri="{FF2B5EF4-FFF2-40B4-BE49-F238E27FC236}">
                  <a16:creationId xmlns:a16="http://schemas.microsoft.com/office/drawing/2014/main" id="{00000000-0008-0000-0700-00001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676275</xdr:colOff>
          <xdr:row>78</xdr:row>
          <xdr:rowOff>161925</xdr:rowOff>
        </xdr:from>
        <xdr:to>
          <xdr:col>3</xdr:col>
          <xdr:colOff>571500</xdr:colOff>
          <xdr:row>81</xdr:row>
          <xdr:rowOff>152400</xdr:rowOff>
        </xdr:to>
        <xdr:sp macro="" textlink="">
          <xdr:nvSpPr>
            <xdr:cNvPr id="7193" name="Button 1107" hidden="1">
              <a:extLst>
                <a:ext uri="{63B3BB69-23CF-44E3-9099-C40C66FF867C}">
                  <a14:compatExt spid="_x0000_s7193"/>
                </a:ext>
                <a:ext uri="{FF2B5EF4-FFF2-40B4-BE49-F238E27FC236}">
                  <a16:creationId xmlns:a16="http://schemas.microsoft.com/office/drawing/2014/main" id="{00000000-0008-0000-0700-00001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190500</xdr:colOff>
          <xdr:row>97</xdr:row>
          <xdr:rowOff>95250</xdr:rowOff>
        </xdr:from>
        <xdr:to>
          <xdr:col>3</xdr:col>
          <xdr:colOff>276225</xdr:colOff>
          <xdr:row>100</xdr:row>
          <xdr:rowOff>104775</xdr:rowOff>
        </xdr:to>
        <xdr:sp macro="" textlink="">
          <xdr:nvSpPr>
            <xdr:cNvPr id="7192" name="Button 1108" hidden="1">
              <a:extLst>
                <a:ext uri="{63B3BB69-23CF-44E3-9099-C40C66FF867C}">
                  <a14:compatExt spid="_x0000_s7192"/>
                </a:ext>
                <a:ext uri="{FF2B5EF4-FFF2-40B4-BE49-F238E27FC236}">
                  <a16:creationId xmlns:a16="http://schemas.microsoft.com/office/drawing/2014/main" id="{00000000-0008-0000-0700-00001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381000</xdr:colOff>
          <xdr:row>108</xdr:row>
          <xdr:rowOff>133350</xdr:rowOff>
        </xdr:from>
        <xdr:to>
          <xdr:col>3</xdr:col>
          <xdr:colOff>400050</xdr:colOff>
          <xdr:row>111</xdr:row>
          <xdr:rowOff>152400</xdr:rowOff>
        </xdr:to>
        <xdr:sp macro="" textlink="">
          <xdr:nvSpPr>
            <xdr:cNvPr id="7191" name="Button 1109" hidden="1">
              <a:extLst>
                <a:ext uri="{63B3BB69-23CF-44E3-9099-C40C66FF867C}">
                  <a14:compatExt spid="_x0000_s7191"/>
                </a:ext>
                <a:ext uri="{FF2B5EF4-FFF2-40B4-BE49-F238E27FC236}">
                  <a16:creationId xmlns:a16="http://schemas.microsoft.com/office/drawing/2014/main" id="{00000000-0008-0000-0700-00001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52</xdr:row>
          <xdr:rowOff>114300</xdr:rowOff>
        </xdr:from>
        <xdr:to>
          <xdr:col>14</xdr:col>
          <xdr:colOff>247650</xdr:colOff>
          <xdr:row>54</xdr:row>
          <xdr:rowOff>85725</xdr:rowOff>
        </xdr:to>
        <xdr:sp macro="" textlink="">
          <xdr:nvSpPr>
            <xdr:cNvPr id="7190" name="Button 1081" hidden="1">
              <a:extLst>
                <a:ext uri="{63B3BB69-23CF-44E3-9099-C40C66FF867C}">
                  <a14:compatExt spid="_x0000_s7190"/>
                </a:ext>
                <a:ext uri="{FF2B5EF4-FFF2-40B4-BE49-F238E27FC236}">
                  <a16:creationId xmlns:a16="http://schemas.microsoft.com/office/drawing/2014/main" id="{00000000-0008-0000-0700-00001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647700</xdr:colOff>
          <xdr:row>79</xdr:row>
          <xdr:rowOff>57150</xdr:rowOff>
        </xdr:from>
        <xdr:to>
          <xdr:col>14</xdr:col>
          <xdr:colOff>400050</xdr:colOff>
          <xdr:row>81</xdr:row>
          <xdr:rowOff>171450</xdr:rowOff>
        </xdr:to>
        <xdr:sp macro="" textlink="">
          <xdr:nvSpPr>
            <xdr:cNvPr id="7189" name="Button 1084" hidden="1">
              <a:extLst>
                <a:ext uri="{63B3BB69-23CF-44E3-9099-C40C66FF867C}">
                  <a14:compatExt spid="_x0000_s7189"/>
                </a:ext>
                <a:ext uri="{FF2B5EF4-FFF2-40B4-BE49-F238E27FC236}">
                  <a16:creationId xmlns:a16="http://schemas.microsoft.com/office/drawing/2014/main" id="{00000000-0008-0000-0700-00001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352425</xdr:colOff>
          <xdr:row>123</xdr:row>
          <xdr:rowOff>123825</xdr:rowOff>
        </xdr:from>
        <xdr:to>
          <xdr:col>3</xdr:col>
          <xdr:colOff>428625</xdr:colOff>
          <xdr:row>126</xdr:row>
          <xdr:rowOff>85725</xdr:rowOff>
        </xdr:to>
        <xdr:sp macro="" textlink="">
          <xdr:nvSpPr>
            <xdr:cNvPr id="7188" name="Button 1110" hidden="1">
              <a:extLst>
                <a:ext uri="{63B3BB69-23CF-44E3-9099-C40C66FF867C}">
                  <a14:compatExt spid="_x0000_s7188"/>
                </a:ext>
                <a:ext uri="{FF2B5EF4-FFF2-40B4-BE49-F238E27FC236}">
                  <a16:creationId xmlns:a16="http://schemas.microsoft.com/office/drawing/2014/main" id="{00000000-0008-0000-0700-00001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171450</xdr:colOff>
          <xdr:row>139</xdr:row>
          <xdr:rowOff>171450</xdr:rowOff>
        </xdr:from>
        <xdr:to>
          <xdr:col>3</xdr:col>
          <xdr:colOff>257175</xdr:colOff>
          <xdr:row>142</xdr:row>
          <xdr:rowOff>133350</xdr:rowOff>
        </xdr:to>
        <xdr:sp macro="" textlink="">
          <xdr:nvSpPr>
            <xdr:cNvPr id="7187" name="Button 1111" hidden="1">
              <a:extLst>
                <a:ext uri="{63B3BB69-23CF-44E3-9099-C40C66FF867C}">
                  <a14:compatExt spid="_x0000_s7187"/>
                </a:ext>
                <a:ext uri="{FF2B5EF4-FFF2-40B4-BE49-F238E27FC236}">
                  <a16:creationId xmlns:a16="http://schemas.microsoft.com/office/drawing/2014/main" id="{00000000-0008-0000-0700-00001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371475</xdr:colOff>
          <xdr:row>106</xdr:row>
          <xdr:rowOff>209550</xdr:rowOff>
        </xdr:from>
        <xdr:to>
          <xdr:col>13</xdr:col>
          <xdr:colOff>657225</xdr:colOff>
          <xdr:row>109</xdr:row>
          <xdr:rowOff>57150</xdr:rowOff>
        </xdr:to>
        <xdr:sp macro="" textlink="">
          <xdr:nvSpPr>
            <xdr:cNvPr id="7186" name="Button 1117" hidden="1">
              <a:extLst>
                <a:ext uri="{63B3BB69-23CF-44E3-9099-C40C66FF867C}">
                  <a14:compatExt spid="_x0000_s7186"/>
                </a:ext>
                <a:ext uri="{FF2B5EF4-FFF2-40B4-BE49-F238E27FC236}">
                  <a16:creationId xmlns:a16="http://schemas.microsoft.com/office/drawing/2014/main" id="{00000000-0008-0000-0700-00001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704850</xdr:colOff>
          <xdr:row>132</xdr:row>
          <xdr:rowOff>180975</xdr:rowOff>
        </xdr:from>
        <xdr:to>
          <xdr:col>12</xdr:col>
          <xdr:colOff>333375</xdr:colOff>
          <xdr:row>135</xdr:row>
          <xdr:rowOff>57150</xdr:rowOff>
        </xdr:to>
        <xdr:sp macro="" textlink="">
          <xdr:nvSpPr>
            <xdr:cNvPr id="7185" name="Button 1088" hidden="1">
              <a:extLst>
                <a:ext uri="{63B3BB69-23CF-44E3-9099-C40C66FF867C}">
                  <a14:compatExt spid="_x0000_s7185"/>
                </a:ext>
                <a:ext uri="{FF2B5EF4-FFF2-40B4-BE49-F238E27FC236}">
                  <a16:creationId xmlns:a16="http://schemas.microsoft.com/office/drawing/2014/main" id="{00000000-0008-0000-0700-00001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123825</xdr:colOff>
          <xdr:row>151</xdr:row>
          <xdr:rowOff>123825</xdr:rowOff>
        </xdr:from>
        <xdr:to>
          <xdr:col>3</xdr:col>
          <xdr:colOff>200025</xdr:colOff>
          <xdr:row>154</xdr:row>
          <xdr:rowOff>123825</xdr:rowOff>
        </xdr:to>
        <xdr:sp macro="" textlink="">
          <xdr:nvSpPr>
            <xdr:cNvPr id="7184" name="Button 1112" hidden="1">
              <a:extLst>
                <a:ext uri="{63B3BB69-23CF-44E3-9099-C40C66FF867C}">
                  <a14:compatExt spid="_x0000_s7184"/>
                </a:ext>
                <a:ext uri="{FF2B5EF4-FFF2-40B4-BE49-F238E27FC236}">
                  <a16:creationId xmlns:a16="http://schemas.microsoft.com/office/drawing/2014/main" id="{00000000-0008-0000-0700-00001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685800</xdr:colOff>
          <xdr:row>143</xdr:row>
          <xdr:rowOff>133350</xdr:rowOff>
        </xdr:from>
        <xdr:to>
          <xdr:col>11</xdr:col>
          <xdr:colOff>304800</xdr:colOff>
          <xdr:row>146</xdr:row>
          <xdr:rowOff>238125</xdr:rowOff>
        </xdr:to>
        <xdr:sp macro="" textlink="">
          <xdr:nvSpPr>
            <xdr:cNvPr id="7183" name="Button 1089" hidden="1">
              <a:extLst>
                <a:ext uri="{63B3BB69-23CF-44E3-9099-C40C66FF867C}">
                  <a14:compatExt spid="_x0000_s7183"/>
                </a:ext>
                <a:ext uri="{FF2B5EF4-FFF2-40B4-BE49-F238E27FC236}">
                  <a16:creationId xmlns:a16="http://schemas.microsoft.com/office/drawing/2014/main" id="{00000000-0008-0000-0700-00000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190500</xdr:colOff>
          <xdr:row>167</xdr:row>
          <xdr:rowOff>123825</xdr:rowOff>
        </xdr:from>
        <xdr:to>
          <xdr:col>11</xdr:col>
          <xdr:colOff>619125</xdr:colOff>
          <xdr:row>171</xdr:row>
          <xdr:rowOff>57150</xdr:rowOff>
        </xdr:to>
        <xdr:sp macro="" textlink="">
          <xdr:nvSpPr>
            <xdr:cNvPr id="7182" name="Button 1127" hidden="1">
              <a:extLst>
                <a:ext uri="{63B3BB69-23CF-44E3-9099-C40C66FF867C}">
                  <a14:compatExt spid="_x0000_s7182"/>
                </a:ext>
                <a:ext uri="{FF2B5EF4-FFF2-40B4-BE49-F238E27FC236}">
                  <a16:creationId xmlns:a16="http://schemas.microsoft.com/office/drawing/2014/main" id="{00000000-0008-0000-0700-00000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209550</xdr:colOff>
          <xdr:row>164</xdr:row>
          <xdr:rowOff>9525</xdr:rowOff>
        </xdr:from>
        <xdr:to>
          <xdr:col>4</xdr:col>
          <xdr:colOff>295275</xdr:colOff>
          <xdr:row>166</xdr:row>
          <xdr:rowOff>180975</xdr:rowOff>
        </xdr:to>
        <xdr:sp macro="" textlink="">
          <xdr:nvSpPr>
            <xdr:cNvPr id="7181" name="Button 1123" hidden="1">
              <a:extLst>
                <a:ext uri="{63B3BB69-23CF-44E3-9099-C40C66FF867C}">
                  <a14:compatExt spid="_x0000_s7181"/>
                </a:ext>
                <a:ext uri="{FF2B5EF4-FFF2-40B4-BE49-F238E27FC236}">
                  <a16:creationId xmlns:a16="http://schemas.microsoft.com/office/drawing/2014/main" id="{00000000-0008-0000-0700-00000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200025</xdr:colOff>
          <xdr:row>180</xdr:row>
          <xdr:rowOff>171450</xdr:rowOff>
        </xdr:from>
        <xdr:to>
          <xdr:col>11</xdr:col>
          <xdr:colOff>209550</xdr:colOff>
          <xdr:row>184</xdr:row>
          <xdr:rowOff>85725</xdr:rowOff>
        </xdr:to>
        <xdr:sp macro="" textlink="">
          <xdr:nvSpPr>
            <xdr:cNvPr id="7180" name="Button 1090" hidden="1">
              <a:extLst>
                <a:ext uri="{63B3BB69-23CF-44E3-9099-C40C66FF867C}">
                  <a14:compatExt spid="_x0000_s7180"/>
                </a:ext>
                <a:ext uri="{FF2B5EF4-FFF2-40B4-BE49-F238E27FC236}">
                  <a16:creationId xmlns:a16="http://schemas.microsoft.com/office/drawing/2014/main" id="{00000000-0008-0000-0700-00000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190500</xdr:colOff>
          <xdr:row>207</xdr:row>
          <xdr:rowOff>123825</xdr:rowOff>
        </xdr:from>
        <xdr:to>
          <xdr:col>11</xdr:col>
          <xdr:colOff>238125</xdr:colOff>
          <xdr:row>211</xdr:row>
          <xdr:rowOff>66675</xdr:rowOff>
        </xdr:to>
        <xdr:sp macro="" textlink="">
          <xdr:nvSpPr>
            <xdr:cNvPr id="7179" name="Button 1118" hidden="1">
              <a:extLst>
                <a:ext uri="{63B3BB69-23CF-44E3-9099-C40C66FF867C}">
                  <a14:compatExt spid="_x0000_s7179"/>
                </a:ext>
                <a:ext uri="{FF2B5EF4-FFF2-40B4-BE49-F238E27FC236}">
                  <a16:creationId xmlns:a16="http://schemas.microsoft.com/office/drawing/2014/main" id="{00000000-0008-0000-0700-00000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638175</xdr:colOff>
          <xdr:row>232</xdr:row>
          <xdr:rowOff>28575</xdr:rowOff>
        </xdr:from>
        <xdr:to>
          <xdr:col>11</xdr:col>
          <xdr:colOff>752475</xdr:colOff>
          <xdr:row>235</xdr:row>
          <xdr:rowOff>114300</xdr:rowOff>
        </xdr:to>
        <xdr:sp macro="" textlink="">
          <xdr:nvSpPr>
            <xdr:cNvPr id="7178" name="Button 1094" hidden="1">
              <a:extLst>
                <a:ext uri="{63B3BB69-23CF-44E3-9099-C40C66FF867C}">
                  <a14:compatExt spid="_x0000_s7178"/>
                </a:ext>
                <a:ext uri="{FF2B5EF4-FFF2-40B4-BE49-F238E27FC236}">
                  <a16:creationId xmlns:a16="http://schemas.microsoft.com/office/drawing/2014/main" id="{00000000-0008-0000-0700-00000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457200</xdr:colOff>
          <xdr:row>244</xdr:row>
          <xdr:rowOff>161925</xdr:rowOff>
        </xdr:from>
        <xdr:to>
          <xdr:col>10</xdr:col>
          <xdr:colOff>723900</xdr:colOff>
          <xdr:row>247</xdr:row>
          <xdr:rowOff>171450</xdr:rowOff>
        </xdr:to>
        <xdr:sp macro="" textlink="">
          <xdr:nvSpPr>
            <xdr:cNvPr id="7177" name="Button 1095" hidden="1">
              <a:extLst>
                <a:ext uri="{63B3BB69-23CF-44E3-9099-C40C66FF867C}">
                  <a14:compatExt spid="_x0000_s7177"/>
                </a:ext>
                <a:ext uri="{FF2B5EF4-FFF2-40B4-BE49-F238E27FC236}">
                  <a16:creationId xmlns:a16="http://schemas.microsoft.com/office/drawing/2014/main" id="{00000000-0008-0000-0700-00000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161925</xdr:colOff>
          <xdr:row>262</xdr:row>
          <xdr:rowOff>28575</xdr:rowOff>
        </xdr:from>
        <xdr:to>
          <xdr:col>12</xdr:col>
          <xdr:colOff>361950</xdr:colOff>
          <xdr:row>265</xdr:row>
          <xdr:rowOff>9525</xdr:rowOff>
        </xdr:to>
        <xdr:sp macro="" textlink="">
          <xdr:nvSpPr>
            <xdr:cNvPr id="7176" name="Button 1096" hidden="1">
              <a:extLst>
                <a:ext uri="{63B3BB69-23CF-44E3-9099-C40C66FF867C}">
                  <a14:compatExt spid="_x0000_s7176"/>
                </a:ext>
                <a:ext uri="{FF2B5EF4-FFF2-40B4-BE49-F238E27FC236}">
                  <a16:creationId xmlns:a16="http://schemas.microsoft.com/office/drawing/2014/main" id="{00000000-0008-0000-0700-00000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657225</xdr:colOff>
          <xdr:row>281</xdr:row>
          <xdr:rowOff>133350</xdr:rowOff>
        </xdr:from>
        <xdr:to>
          <xdr:col>11</xdr:col>
          <xdr:colOff>676275</xdr:colOff>
          <xdr:row>284</xdr:row>
          <xdr:rowOff>104775</xdr:rowOff>
        </xdr:to>
        <xdr:sp macro="" textlink="">
          <xdr:nvSpPr>
            <xdr:cNvPr id="2" name="Button 1132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00000000-0008-0000-0700-000002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590550</xdr:colOff>
          <xdr:row>297</xdr:row>
          <xdr:rowOff>142875</xdr:rowOff>
        </xdr:from>
        <xdr:to>
          <xdr:col>11</xdr:col>
          <xdr:colOff>523875</xdr:colOff>
          <xdr:row>300</xdr:row>
          <xdr:rowOff>114300</xdr:rowOff>
        </xdr:to>
        <xdr:sp macro="" textlink="">
          <xdr:nvSpPr>
            <xdr:cNvPr id="3" name="Button 1097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700-000003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552450</xdr:colOff>
          <xdr:row>311</xdr:row>
          <xdr:rowOff>76200</xdr:rowOff>
        </xdr:from>
        <xdr:to>
          <xdr:col>12</xdr:col>
          <xdr:colOff>695325</xdr:colOff>
          <xdr:row>314</xdr:row>
          <xdr:rowOff>28575</xdr:rowOff>
        </xdr:to>
        <xdr:sp macro="" textlink="">
          <xdr:nvSpPr>
            <xdr:cNvPr id="4" name="Button 1099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700-000004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314325</xdr:colOff>
          <xdr:row>332</xdr:row>
          <xdr:rowOff>9525</xdr:rowOff>
        </xdr:from>
        <xdr:to>
          <xdr:col>11</xdr:col>
          <xdr:colOff>619125</xdr:colOff>
          <xdr:row>334</xdr:row>
          <xdr:rowOff>152400</xdr:rowOff>
        </xdr:to>
        <xdr:sp macro="" textlink="">
          <xdr:nvSpPr>
            <xdr:cNvPr id="5" name="Button 1150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700-000005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209550</xdr:colOff>
          <xdr:row>352</xdr:row>
          <xdr:rowOff>133350</xdr:rowOff>
        </xdr:from>
        <xdr:to>
          <xdr:col>11</xdr:col>
          <xdr:colOff>514350</xdr:colOff>
          <xdr:row>355</xdr:row>
          <xdr:rowOff>85725</xdr:rowOff>
        </xdr:to>
        <xdr:sp macro="" textlink="">
          <xdr:nvSpPr>
            <xdr:cNvPr id="6" name="Button 1151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700-000006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409575</xdr:colOff>
          <xdr:row>376</xdr:row>
          <xdr:rowOff>47625</xdr:rowOff>
        </xdr:from>
        <xdr:to>
          <xdr:col>11</xdr:col>
          <xdr:colOff>714375</xdr:colOff>
          <xdr:row>379</xdr:row>
          <xdr:rowOff>0</xdr:rowOff>
        </xdr:to>
        <xdr:sp macro="" textlink="">
          <xdr:nvSpPr>
            <xdr:cNvPr id="7" name="Button 115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700-000007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409575</xdr:colOff>
          <xdr:row>22</xdr:row>
          <xdr:rowOff>114300</xdr:rowOff>
        </xdr:from>
        <xdr:to>
          <xdr:col>27</xdr:col>
          <xdr:colOff>161925</xdr:colOff>
          <xdr:row>24</xdr:row>
          <xdr:rowOff>180975</xdr:rowOff>
        </xdr:to>
        <xdr:sp macro="" textlink="">
          <xdr:nvSpPr>
            <xdr:cNvPr id="8" name="Button 1153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700-000008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37</xdr:col>
      <xdr:colOff>431280</xdr:colOff>
      <xdr:row>45</xdr:row>
      <xdr:rowOff>38160</xdr:rowOff>
    </xdr:from>
    <xdr:to>
      <xdr:col>43</xdr:col>
      <xdr:colOff>329760</xdr:colOff>
      <xdr:row>59</xdr:row>
      <xdr:rowOff>10440</xdr:rowOff>
    </xdr:to>
    <xdr:graphicFrame macro="">
      <xdr:nvGraphicFramePr>
        <xdr:cNvPr id="31" name="Chart 19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57</xdr:col>
      <xdr:colOff>622080</xdr:colOff>
      <xdr:row>67</xdr:row>
      <xdr:rowOff>8640</xdr:rowOff>
    </xdr:from>
    <xdr:to>
      <xdr:col>63</xdr:col>
      <xdr:colOff>519840</xdr:colOff>
      <xdr:row>82</xdr:row>
      <xdr:rowOff>32400</xdr:rowOff>
    </xdr:to>
    <xdr:graphicFrame macro="">
      <xdr:nvGraphicFramePr>
        <xdr:cNvPr id="32" name="Chart 20">
          <a:extLst>
            <a:ext uri="{FF2B5EF4-FFF2-40B4-BE49-F238E27FC236}">
              <a16:creationId xmlns:a16="http://schemas.microsoft.com/office/drawing/2014/main" id="{00000000-0008-0000-0600-00002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84</xdr:col>
      <xdr:colOff>787320</xdr:colOff>
      <xdr:row>66</xdr:row>
      <xdr:rowOff>150480</xdr:rowOff>
    </xdr:from>
    <xdr:to>
      <xdr:col>90</xdr:col>
      <xdr:colOff>235080</xdr:colOff>
      <xdr:row>80</xdr:row>
      <xdr:rowOff>160200</xdr:rowOff>
    </xdr:to>
    <xdr:graphicFrame macro="">
      <xdr:nvGraphicFramePr>
        <xdr:cNvPr id="33" name="Chart 166">
          <a:extLst>
            <a:ext uri="{FF2B5EF4-FFF2-40B4-BE49-F238E27FC236}">
              <a16:creationId xmlns:a16="http://schemas.microsoft.com/office/drawing/2014/main" id="{00000000-0008-0000-0600-00002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96</xdr:col>
      <xdr:colOff>224640</xdr:colOff>
      <xdr:row>10</xdr:row>
      <xdr:rowOff>69480</xdr:rowOff>
    </xdr:from>
    <xdr:to>
      <xdr:col>101</xdr:col>
      <xdr:colOff>338760</xdr:colOff>
      <xdr:row>22</xdr:row>
      <xdr:rowOff>23400</xdr:rowOff>
    </xdr:to>
    <xdr:graphicFrame macro="">
      <xdr:nvGraphicFramePr>
        <xdr:cNvPr id="34" name="Chart 167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48</xdr:col>
      <xdr:colOff>101520</xdr:colOff>
      <xdr:row>91</xdr:row>
      <xdr:rowOff>181440</xdr:rowOff>
    </xdr:from>
    <xdr:to>
      <xdr:col>53</xdr:col>
      <xdr:colOff>146880</xdr:colOff>
      <xdr:row>104</xdr:row>
      <xdr:rowOff>79560</xdr:rowOff>
    </xdr:to>
    <xdr:graphicFrame macro="">
      <xdr:nvGraphicFramePr>
        <xdr:cNvPr id="35" name="Chart 161"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133350</xdr:colOff>
          <xdr:row>128</xdr:row>
          <xdr:rowOff>114300</xdr:rowOff>
        </xdr:from>
        <xdr:to>
          <xdr:col>4</xdr:col>
          <xdr:colOff>-85725</xdr:colOff>
          <xdr:row>130</xdr:row>
          <xdr:rowOff>19050</xdr:rowOff>
        </xdr:to>
        <xdr:sp macro="" textlink="">
          <xdr:nvSpPr>
            <xdr:cNvPr id="9220" name="Button 6" descr="OK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9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238125</xdr:colOff>
          <xdr:row>109</xdr:row>
          <xdr:rowOff>171450</xdr:rowOff>
        </xdr:from>
        <xdr:to>
          <xdr:col>4</xdr:col>
          <xdr:colOff>38100</xdr:colOff>
          <xdr:row>111</xdr:row>
          <xdr:rowOff>66675</xdr:rowOff>
        </xdr:to>
        <xdr:sp macro="" textlink="">
          <xdr:nvSpPr>
            <xdr:cNvPr id="9221" name="Button 8" descr="OK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:a16="http://schemas.microsoft.com/office/drawing/2014/main" id="{00000000-0008-0000-09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151</xdr:row>
          <xdr:rowOff>104775</xdr:rowOff>
        </xdr:from>
        <xdr:to>
          <xdr:col>3</xdr:col>
          <xdr:colOff>-247650</xdr:colOff>
          <xdr:row>153</xdr:row>
          <xdr:rowOff>76200</xdr:rowOff>
        </xdr:to>
        <xdr:sp macro="" textlink="">
          <xdr:nvSpPr>
            <xdr:cNvPr id="9222" name="Button 9" descr="OK" hidden="1">
              <a:extLst>
                <a:ext uri="{63B3BB69-23CF-44E3-9099-C40C66FF867C}">
                  <a14:compatExt spid="_x0000_s9222"/>
                </a:ext>
                <a:ext uri="{FF2B5EF4-FFF2-40B4-BE49-F238E27FC236}">
                  <a16:creationId xmlns:a16="http://schemas.microsoft.com/office/drawing/2014/main" id="{00000000-0008-0000-0900-00000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133350</xdr:colOff>
          <xdr:row>128</xdr:row>
          <xdr:rowOff>114300</xdr:rowOff>
        </xdr:from>
        <xdr:to>
          <xdr:col>4</xdr:col>
          <xdr:colOff>85725</xdr:colOff>
          <xdr:row>130</xdr:row>
          <xdr:rowOff>19050</xdr:rowOff>
        </xdr:to>
        <xdr:sp macro="" textlink="">
          <xdr:nvSpPr>
            <xdr:cNvPr id="9219" name="Button 6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9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238125</xdr:colOff>
          <xdr:row>109</xdr:row>
          <xdr:rowOff>171450</xdr:rowOff>
        </xdr:from>
        <xdr:to>
          <xdr:col>4</xdr:col>
          <xdr:colOff>38100</xdr:colOff>
          <xdr:row>111</xdr:row>
          <xdr:rowOff>66675</xdr:rowOff>
        </xdr:to>
        <xdr:sp macro="" textlink="">
          <xdr:nvSpPr>
            <xdr:cNvPr id="9218" name="Button 8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9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142875</xdr:colOff>
          <xdr:row>151</xdr:row>
          <xdr:rowOff>104775</xdr:rowOff>
        </xdr:from>
        <xdr:to>
          <xdr:col>3</xdr:col>
          <xdr:colOff>247650</xdr:colOff>
          <xdr:row>153</xdr:row>
          <xdr:rowOff>76200</xdr:rowOff>
        </xdr:to>
        <xdr:sp macro="" textlink="">
          <xdr:nvSpPr>
            <xdr:cNvPr id="9217" name="Button 9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9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139680</xdr:colOff>
      <xdr:row>6</xdr:row>
      <xdr:rowOff>18720</xdr:rowOff>
    </xdr:from>
    <xdr:to>
      <xdr:col>27</xdr:col>
      <xdr:colOff>37440</xdr:colOff>
      <xdr:row>19</xdr:row>
      <xdr:rowOff>68040</xdr:rowOff>
    </xdr:to>
    <xdr:graphicFrame macro="">
      <xdr:nvGraphicFramePr>
        <xdr:cNvPr id="45" name="Chart 3113">
          <a:extLst>
            <a:ext uri="{FF2B5EF4-FFF2-40B4-BE49-F238E27FC236}">
              <a16:creationId xmlns:a16="http://schemas.microsoft.com/office/drawing/2014/main" id="{00000000-0008-0000-0800-00002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50</xdr:col>
      <xdr:colOff>596520</xdr:colOff>
      <xdr:row>37</xdr:row>
      <xdr:rowOff>150480</xdr:rowOff>
    </xdr:from>
    <xdr:to>
      <xdr:col>55</xdr:col>
      <xdr:colOff>671400</xdr:colOff>
      <xdr:row>52</xdr:row>
      <xdr:rowOff>78840</xdr:rowOff>
    </xdr:to>
    <xdr:graphicFrame macro="">
      <xdr:nvGraphicFramePr>
        <xdr:cNvPr id="46" name="Chart 3115">
          <a:extLst>
            <a:ext uri="{FF2B5EF4-FFF2-40B4-BE49-F238E27FC236}">
              <a16:creationId xmlns:a16="http://schemas.microsoft.com/office/drawing/2014/main" id="{00000000-0008-0000-0800-00002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111</xdr:row>
          <xdr:rowOff>9525</xdr:rowOff>
        </xdr:from>
        <xdr:to>
          <xdr:col>4</xdr:col>
          <xdr:colOff>-228600</xdr:colOff>
          <xdr:row>112</xdr:row>
          <xdr:rowOff>66675</xdr:rowOff>
        </xdr:to>
        <xdr:sp macro="" textlink="">
          <xdr:nvSpPr>
            <xdr:cNvPr id="8196" name="Button 3109" descr="OK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8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126</xdr:row>
          <xdr:rowOff>19050</xdr:rowOff>
        </xdr:from>
        <xdr:to>
          <xdr:col>4</xdr:col>
          <xdr:colOff>-266700</xdr:colOff>
          <xdr:row>127</xdr:row>
          <xdr:rowOff>104775</xdr:rowOff>
        </xdr:to>
        <xdr:sp macro="" textlink="">
          <xdr:nvSpPr>
            <xdr:cNvPr id="8197" name="Button 3110" descr="OK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00000000-0008-0000-08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714375</xdr:colOff>
          <xdr:row>160</xdr:row>
          <xdr:rowOff>161925</xdr:rowOff>
        </xdr:from>
        <xdr:to>
          <xdr:col>3</xdr:col>
          <xdr:colOff>28575</xdr:colOff>
          <xdr:row>162</xdr:row>
          <xdr:rowOff>114300</xdr:rowOff>
        </xdr:to>
        <xdr:sp macro="" textlink="">
          <xdr:nvSpPr>
            <xdr:cNvPr id="8198" name="Button 3111" descr="OK" hidden="1">
              <a:extLst>
                <a:ext uri="{63B3BB69-23CF-44E3-9099-C40C66FF867C}">
                  <a14:compatExt spid="_x0000_s8198"/>
                </a:ext>
                <a:ext uri="{FF2B5EF4-FFF2-40B4-BE49-F238E27FC236}">
                  <a16:creationId xmlns:a16="http://schemas.microsoft.com/office/drawing/2014/main" id="{00000000-0008-0000-0800-00000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GB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76200</xdr:colOff>
          <xdr:row>111</xdr:row>
          <xdr:rowOff>9525</xdr:rowOff>
        </xdr:from>
        <xdr:to>
          <xdr:col>4</xdr:col>
          <xdr:colOff>228600</xdr:colOff>
          <xdr:row>112</xdr:row>
          <xdr:rowOff>66675</xdr:rowOff>
        </xdr:to>
        <xdr:sp macro="" textlink="">
          <xdr:nvSpPr>
            <xdr:cNvPr id="8195" name="Button 3109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8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76200</xdr:colOff>
          <xdr:row>126</xdr:row>
          <xdr:rowOff>19050</xdr:rowOff>
        </xdr:from>
        <xdr:to>
          <xdr:col>4</xdr:col>
          <xdr:colOff>266700</xdr:colOff>
          <xdr:row>127</xdr:row>
          <xdr:rowOff>104775</xdr:rowOff>
        </xdr:to>
        <xdr:sp macro="" textlink="">
          <xdr:nvSpPr>
            <xdr:cNvPr id="8194" name="Button 3110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8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714375</xdr:colOff>
          <xdr:row>160</xdr:row>
          <xdr:rowOff>161925</xdr:rowOff>
        </xdr:from>
        <xdr:to>
          <xdr:col>3</xdr:col>
          <xdr:colOff>28575</xdr:colOff>
          <xdr:row>162</xdr:row>
          <xdr:rowOff>114300</xdr:rowOff>
        </xdr:to>
        <xdr:sp macro="" textlink="">
          <xdr:nvSpPr>
            <xdr:cNvPr id="8193" name="Button 311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8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91440" tIns="45720" rIns="91440" bIns="45720" anchor="ctr" upright="1"/>
            <a:lstStyle/>
            <a:p>
              <a:pPr algn="ctr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OK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he%20Prodectivity%20Tool%20Pack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H"/>
      <sheetName val="Macro2"/>
      <sheetName val="Macro1"/>
      <sheetName val="Sheet10"/>
      <sheetName val="Sheet11"/>
      <sheetName val="Sheet12"/>
      <sheetName val="Sheet13"/>
      <sheetName val="Sheet1"/>
      <sheetName val="Sheet2"/>
      <sheetName val="Sheet7"/>
      <sheetName val="Sheet8"/>
      <sheetName val="DDDDDD"/>
      <sheetName val="Sheet3"/>
    </sheetNames>
    <sheetDataSet>
      <sheetData sheetId="0">
        <row r="7">
          <cell r="C7" t="str">
            <v>FIELD</v>
          </cell>
        </row>
      </sheetData>
      <sheetData sheetId="1"/>
      <sheetData sheetId="2"/>
      <sheetData sheetId="3">
        <row r="625">
          <cell r="AL625">
            <v>1.46812450170974</v>
          </cell>
          <cell r="AM625">
            <v>1.43166059795375</v>
          </cell>
          <cell r="AN625">
            <v>1.0527997718193101</v>
          </cell>
        </row>
        <row r="627">
          <cell r="AL627">
            <v>0.483333333333333</v>
          </cell>
          <cell r="AM627">
            <v>0.483333333333333</v>
          </cell>
          <cell r="AN627">
            <v>0.483333333333333</v>
          </cell>
        </row>
        <row r="628">
          <cell r="AL628">
            <v>5.5576225982233103</v>
          </cell>
          <cell r="AM628">
            <v>5.5205099264488702</v>
          </cell>
          <cell r="AN628">
            <v>5.5205099264488702</v>
          </cell>
        </row>
        <row r="629">
          <cell r="AL629">
            <v>0.534270603931701</v>
          </cell>
        </row>
        <row r="631">
          <cell r="AL631">
            <v>2.62702358813022E-5</v>
          </cell>
          <cell r="AM631">
            <v>8.9638014762760402E-5</v>
          </cell>
          <cell r="AN631">
            <v>2.9603424308491501E-5</v>
          </cell>
        </row>
      </sheetData>
      <sheetData sheetId="4">
        <row r="36">
          <cell r="G36">
            <v>6</v>
          </cell>
        </row>
        <row r="47">
          <cell r="H47">
            <v>200</v>
          </cell>
        </row>
        <row r="48">
          <cell r="H48">
            <v>0.14000000000000001</v>
          </cell>
        </row>
        <row r="52">
          <cell r="H52">
            <v>2700</v>
          </cell>
        </row>
        <row r="53">
          <cell r="H53">
            <v>310</v>
          </cell>
        </row>
        <row r="54">
          <cell r="H54">
            <v>3.15</v>
          </cell>
        </row>
        <row r="112">
          <cell r="O112">
            <v>0.26291173605540702</v>
          </cell>
          <cell r="R112">
            <v>0.341935827809703</v>
          </cell>
        </row>
      </sheetData>
      <sheetData sheetId="5">
        <row r="59">
          <cell r="O59">
            <v>0.23142174835950099</v>
          </cell>
        </row>
      </sheetData>
      <sheetData sheetId="6">
        <row r="59">
          <cell r="P59">
            <v>0.24579154076956899</v>
          </cell>
        </row>
      </sheetData>
      <sheetData sheetId="7"/>
      <sheetData sheetId="8">
        <row r="879">
          <cell r="BQ879">
            <v>0.95042438207167201</v>
          </cell>
        </row>
        <row r="881">
          <cell r="BQ881">
            <v>0.48552754435107398</v>
          </cell>
        </row>
        <row r="882">
          <cell r="BQ882">
            <v>8.2447810975991906</v>
          </cell>
        </row>
        <row r="885">
          <cell r="BQ885">
            <v>1.6758059745854999E-4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53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11.xml"/><Relationship Id="rId4" Type="http://schemas.openxmlformats.org/officeDocument/2006/relationships/ctrlProp" Target="../ctrlProps/ctrlProp15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.xml"/><Relationship Id="rId3" Type="http://schemas.openxmlformats.org/officeDocument/2006/relationships/ctrlProp" Target="../ctrlProps/ctrlProp5.xml"/><Relationship Id="rId7" Type="http://schemas.openxmlformats.org/officeDocument/2006/relationships/ctrlProp" Target="../ctrlProps/ctrlProp9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10" Type="http://schemas.openxmlformats.org/officeDocument/2006/relationships/ctrlProp" Target="../ctrlProps/ctrlProp12.xml"/><Relationship Id="rId4" Type="http://schemas.openxmlformats.org/officeDocument/2006/relationships/ctrlProp" Target="../ctrlProps/ctrlProp6.xml"/><Relationship Id="rId9" Type="http://schemas.openxmlformats.org/officeDocument/2006/relationships/ctrlProp" Target="../ctrlProps/ctrlProp11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23.xml"/><Relationship Id="rId18" Type="http://schemas.openxmlformats.org/officeDocument/2006/relationships/ctrlProp" Target="../ctrlProps/ctrlProp28.xml"/><Relationship Id="rId26" Type="http://schemas.openxmlformats.org/officeDocument/2006/relationships/ctrlProp" Target="../ctrlProps/ctrlProp36.xml"/><Relationship Id="rId39" Type="http://schemas.openxmlformats.org/officeDocument/2006/relationships/ctrlProp" Target="../ctrlProps/ctrlProp49.xml"/><Relationship Id="rId21" Type="http://schemas.openxmlformats.org/officeDocument/2006/relationships/ctrlProp" Target="../ctrlProps/ctrlProp31.xml"/><Relationship Id="rId34" Type="http://schemas.openxmlformats.org/officeDocument/2006/relationships/ctrlProp" Target="../ctrlProps/ctrlProp44.xml"/><Relationship Id="rId42" Type="http://schemas.openxmlformats.org/officeDocument/2006/relationships/ctrlProp" Target="../ctrlProps/ctrlProp52.xml"/><Relationship Id="rId47" Type="http://schemas.openxmlformats.org/officeDocument/2006/relationships/ctrlProp" Target="../ctrlProps/ctrlProp57.xml"/><Relationship Id="rId50" Type="http://schemas.openxmlformats.org/officeDocument/2006/relationships/ctrlProp" Target="../ctrlProps/ctrlProp60.xml"/><Relationship Id="rId55" Type="http://schemas.openxmlformats.org/officeDocument/2006/relationships/ctrlProp" Target="../ctrlProps/ctrlProp65.xml"/><Relationship Id="rId63" Type="http://schemas.openxmlformats.org/officeDocument/2006/relationships/ctrlProp" Target="../ctrlProps/ctrlProp73.xml"/><Relationship Id="rId7" Type="http://schemas.openxmlformats.org/officeDocument/2006/relationships/ctrlProp" Target="../ctrlProps/ctrlProp17.xml"/><Relationship Id="rId2" Type="http://schemas.openxmlformats.org/officeDocument/2006/relationships/vmlDrawing" Target="../drawings/vmlDrawing3.vml"/><Relationship Id="rId16" Type="http://schemas.openxmlformats.org/officeDocument/2006/relationships/ctrlProp" Target="../ctrlProps/ctrlProp26.xml"/><Relationship Id="rId29" Type="http://schemas.openxmlformats.org/officeDocument/2006/relationships/ctrlProp" Target="../ctrlProps/ctrlProp39.xml"/><Relationship Id="rId11" Type="http://schemas.openxmlformats.org/officeDocument/2006/relationships/ctrlProp" Target="../ctrlProps/ctrlProp21.xml"/><Relationship Id="rId24" Type="http://schemas.openxmlformats.org/officeDocument/2006/relationships/ctrlProp" Target="../ctrlProps/ctrlProp34.xml"/><Relationship Id="rId32" Type="http://schemas.openxmlformats.org/officeDocument/2006/relationships/ctrlProp" Target="../ctrlProps/ctrlProp42.xml"/><Relationship Id="rId37" Type="http://schemas.openxmlformats.org/officeDocument/2006/relationships/ctrlProp" Target="../ctrlProps/ctrlProp47.xml"/><Relationship Id="rId40" Type="http://schemas.openxmlformats.org/officeDocument/2006/relationships/ctrlProp" Target="../ctrlProps/ctrlProp50.xml"/><Relationship Id="rId45" Type="http://schemas.openxmlformats.org/officeDocument/2006/relationships/ctrlProp" Target="../ctrlProps/ctrlProp55.xml"/><Relationship Id="rId53" Type="http://schemas.openxmlformats.org/officeDocument/2006/relationships/ctrlProp" Target="../ctrlProps/ctrlProp63.xml"/><Relationship Id="rId58" Type="http://schemas.openxmlformats.org/officeDocument/2006/relationships/ctrlProp" Target="../ctrlProps/ctrlProp68.xml"/><Relationship Id="rId5" Type="http://schemas.openxmlformats.org/officeDocument/2006/relationships/ctrlProp" Target="../ctrlProps/ctrlProp15.xml"/><Relationship Id="rId61" Type="http://schemas.openxmlformats.org/officeDocument/2006/relationships/ctrlProp" Target="../ctrlProps/ctrlProp71.xml"/><Relationship Id="rId19" Type="http://schemas.openxmlformats.org/officeDocument/2006/relationships/ctrlProp" Target="../ctrlProps/ctrlProp29.xml"/><Relationship Id="rId14" Type="http://schemas.openxmlformats.org/officeDocument/2006/relationships/ctrlProp" Target="../ctrlProps/ctrlProp24.xml"/><Relationship Id="rId22" Type="http://schemas.openxmlformats.org/officeDocument/2006/relationships/ctrlProp" Target="../ctrlProps/ctrlProp32.xml"/><Relationship Id="rId27" Type="http://schemas.openxmlformats.org/officeDocument/2006/relationships/ctrlProp" Target="../ctrlProps/ctrlProp37.xml"/><Relationship Id="rId30" Type="http://schemas.openxmlformats.org/officeDocument/2006/relationships/ctrlProp" Target="../ctrlProps/ctrlProp40.xml"/><Relationship Id="rId35" Type="http://schemas.openxmlformats.org/officeDocument/2006/relationships/ctrlProp" Target="../ctrlProps/ctrlProp45.xml"/><Relationship Id="rId43" Type="http://schemas.openxmlformats.org/officeDocument/2006/relationships/ctrlProp" Target="../ctrlProps/ctrlProp53.xml"/><Relationship Id="rId48" Type="http://schemas.openxmlformats.org/officeDocument/2006/relationships/ctrlProp" Target="../ctrlProps/ctrlProp58.xml"/><Relationship Id="rId56" Type="http://schemas.openxmlformats.org/officeDocument/2006/relationships/ctrlProp" Target="../ctrlProps/ctrlProp66.xml"/><Relationship Id="rId64" Type="http://schemas.openxmlformats.org/officeDocument/2006/relationships/ctrlProp" Target="../ctrlProps/ctrlProp74.xml"/><Relationship Id="rId8" Type="http://schemas.openxmlformats.org/officeDocument/2006/relationships/ctrlProp" Target="../ctrlProps/ctrlProp18.xml"/><Relationship Id="rId51" Type="http://schemas.openxmlformats.org/officeDocument/2006/relationships/ctrlProp" Target="../ctrlProps/ctrlProp61.xml"/><Relationship Id="rId3" Type="http://schemas.openxmlformats.org/officeDocument/2006/relationships/ctrlProp" Target="../ctrlProps/ctrlProp13.xml"/><Relationship Id="rId12" Type="http://schemas.openxmlformats.org/officeDocument/2006/relationships/ctrlProp" Target="../ctrlProps/ctrlProp22.xml"/><Relationship Id="rId17" Type="http://schemas.openxmlformats.org/officeDocument/2006/relationships/ctrlProp" Target="../ctrlProps/ctrlProp27.xml"/><Relationship Id="rId25" Type="http://schemas.openxmlformats.org/officeDocument/2006/relationships/ctrlProp" Target="../ctrlProps/ctrlProp35.xml"/><Relationship Id="rId33" Type="http://schemas.openxmlformats.org/officeDocument/2006/relationships/ctrlProp" Target="../ctrlProps/ctrlProp43.xml"/><Relationship Id="rId38" Type="http://schemas.openxmlformats.org/officeDocument/2006/relationships/ctrlProp" Target="../ctrlProps/ctrlProp48.xml"/><Relationship Id="rId46" Type="http://schemas.openxmlformats.org/officeDocument/2006/relationships/ctrlProp" Target="../ctrlProps/ctrlProp56.xml"/><Relationship Id="rId59" Type="http://schemas.openxmlformats.org/officeDocument/2006/relationships/ctrlProp" Target="../ctrlProps/ctrlProp69.xml"/><Relationship Id="rId20" Type="http://schemas.openxmlformats.org/officeDocument/2006/relationships/ctrlProp" Target="../ctrlProps/ctrlProp30.xml"/><Relationship Id="rId41" Type="http://schemas.openxmlformats.org/officeDocument/2006/relationships/ctrlProp" Target="../ctrlProps/ctrlProp51.xml"/><Relationship Id="rId54" Type="http://schemas.openxmlformats.org/officeDocument/2006/relationships/ctrlProp" Target="../ctrlProps/ctrlProp64.xml"/><Relationship Id="rId62" Type="http://schemas.openxmlformats.org/officeDocument/2006/relationships/ctrlProp" Target="../ctrlProps/ctrlProp72.x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6.xml"/><Relationship Id="rId15" Type="http://schemas.openxmlformats.org/officeDocument/2006/relationships/ctrlProp" Target="../ctrlProps/ctrlProp25.xml"/><Relationship Id="rId23" Type="http://schemas.openxmlformats.org/officeDocument/2006/relationships/ctrlProp" Target="../ctrlProps/ctrlProp33.xml"/><Relationship Id="rId28" Type="http://schemas.openxmlformats.org/officeDocument/2006/relationships/ctrlProp" Target="../ctrlProps/ctrlProp38.xml"/><Relationship Id="rId36" Type="http://schemas.openxmlformats.org/officeDocument/2006/relationships/ctrlProp" Target="../ctrlProps/ctrlProp46.xml"/><Relationship Id="rId49" Type="http://schemas.openxmlformats.org/officeDocument/2006/relationships/ctrlProp" Target="../ctrlProps/ctrlProp59.xml"/><Relationship Id="rId57" Type="http://schemas.openxmlformats.org/officeDocument/2006/relationships/ctrlProp" Target="../ctrlProps/ctrlProp67.xml"/><Relationship Id="rId10" Type="http://schemas.openxmlformats.org/officeDocument/2006/relationships/ctrlProp" Target="../ctrlProps/ctrlProp20.xml"/><Relationship Id="rId31" Type="http://schemas.openxmlformats.org/officeDocument/2006/relationships/ctrlProp" Target="../ctrlProps/ctrlProp41.xml"/><Relationship Id="rId44" Type="http://schemas.openxmlformats.org/officeDocument/2006/relationships/ctrlProp" Target="../ctrlProps/ctrlProp54.xml"/><Relationship Id="rId52" Type="http://schemas.openxmlformats.org/officeDocument/2006/relationships/ctrlProp" Target="../ctrlProps/ctrlProp62.xml"/><Relationship Id="rId60" Type="http://schemas.openxmlformats.org/officeDocument/2006/relationships/ctrlProp" Target="../ctrlProps/ctrlProp70.xml"/><Relationship Id="rId4" Type="http://schemas.openxmlformats.org/officeDocument/2006/relationships/ctrlProp" Target="../ctrlProps/ctrlProp14.xml"/><Relationship Id="rId9" Type="http://schemas.openxmlformats.org/officeDocument/2006/relationships/ctrlProp" Target="../ctrlProps/ctrlProp19.xm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85.xml"/><Relationship Id="rId18" Type="http://schemas.openxmlformats.org/officeDocument/2006/relationships/ctrlProp" Target="../ctrlProps/ctrlProp90.xml"/><Relationship Id="rId26" Type="http://schemas.openxmlformats.org/officeDocument/2006/relationships/ctrlProp" Target="../ctrlProps/ctrlProp98.xml"/><Relationship Id="rId39" Type="http://schemas.openxmlformats.org/officeDocument/2006/relationships/ctrlProp" Target="../ctrlProps/ctrlProp111.xml"/><Relationship Id="rId21" Type="http://schemas.openxmlformats.org/officeDocument/2006/relationships/ctrlProp" Target="../ctrlProps/ctrlProp93.xml"/><Relationship Id="rId34" Type="http://schemas.openxmlformats.org/officeDocument/2006/relationships/ctrlProp" Target="../ctrlProps/ctrlProp106.xml"/><Relationship Id="rId42" Type="http://schemas.openxmlformats.org/officeDocument/2006/relationships/ctrlProp" Target="../ctrlProps/ctrlProp114.xml"/><Relationship Id="rId47" Type="http://schemas.openxmlformats.org/officeDocument/2006/relationships/ctrlProp" Target="../ctrlProps/ctrlProp119.xml"/><Relationship Id="rId50" Type="http://schemas.openxmlformats.org/officeDocument/2006/relationships/ctrlProp" Target="../ctrlProps/ctrlProp122.xml"/><Relationship Id="rId55" Type="http://schemas.openxmlformats.org/officeDocument/2006/relationships/ctrlProp" Target="../ctrlProps/ctrlProp127.xml"/><Relationship Id="rId63" Type="http://schemas.openxmlformats.org/officeDocument/2006/relationships/ctrlProp" Target="../ctrlProps/ctrlProp135.xml"/><Relationship Id="rId7" Type="http://schemas.openxmlformats.org/officeDocument/2006/relationships/ctrlProp" Target="../ctrlProps/ctrlProp79.xml"/><Relationship Id="rId2" Type="http://schemas.openxmlformats.org/officeDocument/2006/relationships/vmlDrawing" Target="../drawings/vmlDrawing4.vml"/><Relationship Id="rId16" Type="http://schemas.openxmlformats.org/officeDocument/2006/relationships/ctrlProp" Target="../ctrlProps/ctrlProp88.xml"/><Relationship Id="rId29" Type="http://schemas.openxmlformats.org/officeDocument/2006/relationships/ctrlProp" Target="../ctrlProps/ctrlProp101.xml"/><Relationship Id="rId11" Type="http://schemas.openxmlformats.org/officeDocument/2006/relationships/ctrlProp" Target="../ctrlProps/ctrlProp83.xml"/><Relationship Id="rId24" Type="http://schemas.openxmlformats.org/officeDocument/2006/relationships/ctrlProp" Target="../ctrlProps/ctrlProp96.xml"/><Relationship Id="rId32" Type="http://schemas.openxmlformats.org/officeDocument/2006/relationships/ctrlProp" Target="../ctrlProps/ctrlProp104.xml"/><Relationship Id="rId37" Type="http://schemas.openxmlformats.org/officeDocument/2006/relationships/ctrlProp" Target="../ctrlProps/ctrlProp109.xml"/><Relationship Id="rId40" Type="http://schemas.openxmlformats.org/officeDocument/2006/relationships/ctrlProp" Target="../ctrlProps/ctrlProp112.xml"/><Relationship Id="rId45" Type="http://schemas.openxmlformats.org/officeDocument/2006/relationships/ctrlProp" Target="../ctrlProps/ctrlProp117.xml"/><Relationship Id="rId53" Type="http://schemas.openxmlformats.org/officeDocument/2006/relationships/ctrlProp" Target="../ctrlProps/ctrlProp125.xml"/><Relationship Id="rId58" Type="http://schemas.openxmlformats.org/officeDocument/2006/relationships/ctrlProp" Target="../ctrlProps/ctrlProp130.xml"/><Relationship Id="rId5" Type="http://schemas.openxmlformats.org/officeDocument/2006/relationships/ctrlProp" Target="../ctrlProps/ctrlProp77.xml"/><Relationship Id="rId61" Type="http://schemas.openxmlformats.org/officeDocument/2006/relationships/ctrlProp" Target="../ctrlProps/ctrlProp133.xml"/><Relationship Id="rId19" Type="http://schemas.openxmlformats.org/officeDocument/2006/relationships/ctrlProp" Target="../ctrlProps/ctrlProp91.xml"/><Relationship Id="rId14" Type="http://schemas.openxmlformats.org/officeDocument/2006/relationships/ctrlProp" Target="../ctrlProps/ctrlProp86.xml"/><Relationship Id="rId22" Type="http://schemas.openxmlformats.org/officeDocument/2006/relationships/ctrlProp" Target="../ctrlProps/ctrlProp94.xml"/><Relationship Id="rId27" Type="http://schemas.openxmlformats.org/officeDocument/2006/relationships/ctrlProp" Target="../ctrlProps/ctrlProp99.xml"/><Relationship Id="rId30" Type="http://schemas.openxmlformats.org/officeDocument/2006/relationships/ctrlProp" Target="../ctrlProps/ctrlProp102.xml"/><Relationship Id="rId35" Type="http://schemas.openxmlformats.org/officeDocument/2006/relationships/ctrlProp" Target="../ctrlProps/ctrlProp107.xml"/><Relationship Id="rId43" Type="http://schemas.openxmlformats.org/officeDocument/2006/relationships/ctrlProp" Target="../ctrlProps/ctrlProp115.xml"/><Relationship Id="rId48" Type="http://schemas.openxmlformats.org/officeDocument/2006/relationships/ctrlProp" Target="../ctrlProps/ctrlProp120.xml"/><Relationship Id="rId56" Type="http://schemas.openxmlformats.org/officeDocument/2006/relationships/ctrlProp" Target="../ctrlProps/ctrlProp128.xml"/><Relationship Id="rId64" Type="http://schemas.openxmlformats.org/officeDocument/2006/relationships/ctrlProp" Target="../ctrlProps/ctrlProp136.xml"/><Relationship Id="rId8" Type="http://schemas.openxmlformats.org/officeDocument/2006/relationships/ctrlProp" Target="../ctrlProps/ctrlProp80.xml"/><Relationship Id="rId51" Type="http://schemas.openxmlformats.org/officeDocument/2006/relationships/ctrlProp" Target="../ctrlProps/ctrlProp123.xml"/><Relationship Id="rId3" Type="http://schemas.openxmlformats.org/officeDocument/2006/relationships/ctrlProp" Target="../ctrlProps/ctrlProp75.xml"/><Relationship Id="rId12" Type="http://schemas.openxmlformats.org/officeDocument/2006/relationships/ctrlProp" Target="../ctrlProps/ctrlProp84.xml"/><Relationship Id="rId17" Type="http://schemas.openxmlformats.org/officeDocument/2006/relationships/ctrlProp" Target="../ctrlProps/ctrlProp89.xml"/><Relationship Id="rId25" Type="http://schemas.openxmlformats.org/officeDocument/2006/relationships/ctrlProp" Target="../ctrlProps/ctrlProp97.xml"/><Relationship Id="rId33" Type="http://schemas.openxmlformats.org/officeDocument/2006/relationships/ctrlProp" Target="../ctrlProps/ctrlProp105.xml"/><Relationship Id="rId38" Type="http://schemas.openxmlformats.org/officeDocument/2006/relationships/ctrlProp" Target="../ctrlProps/ctrlProp110.xml"/><Relationship Id="rId46" Type="http://schemas.openxmlformats.org/officeDocument/2006/relationships/ctrlProp" Target="../ctrlProps/ctrlProp118.xml"/><Relationship Id="rId59" Type="http://schemas.openxmlformats.org/officeDocument/2006/relationships/ctrlProp" Target="../ctrlProps/ctrlProp131.xml"/><Relationship Id="rId20" Type="http://schemas.openxmlformats.org/officeDocument/2006/relationships/ctrlProp" Target="../ctrlProps/ctrlProp92.xml"/><Relationship Id="rId41" Type="http://schemas.openxmlformats.org/officeDocument/2006/relationships/ctrlProp" Target="../ctrlProps/ctrlProp113.xml"/><Relationship Id="rId54" Type="http://schemas.openxmlformats.org/officeDocument/2006/relationships/ctrlProp" Target="../ctrlProps/ctrlProp126.xml"/><Relationship Id="rId62" Type="http://schemas.openxmlformats.org/officeDocument/2006/relationships/ctrlProp" Target="../ctrlProps/ctrlProp134.x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78.xml"/><Relationship Id="rId15" Type="http://schemas.openxmlformats.org/officeDocument/2006/relationships/ctrlProp" Target="../ctrlProps/ctrlProp87.xml"/><Relationship Id="rId23" Type="http://schemas.openxmlformats.org/officeDocument/2006/relationships/ctrlProp" Target="../ctrlProps/ctrlProp95.xml"/><Relationship Id="rId28" Type="http://schemas.openxmlformats.org/officeDocument/2006/relationships/ctrlProp" Target="../ctrlProps/ctrlProp100.xml"/><Relationship Id="rId36" Type="http://schemas.openxmlformats.org/officeDocument/2006/relationships/ctrlProp" Target="../ctrlProps/ctrlProp108.xml"/><Relationship Id="rId49" Type="http://schemas.openxmlformats.org/officeDocument/2006/relationships/ctrlProp" Target="../ctrlProps/ctrlProp121.xml"/><Relationship Id="rId57" Type="http://schemas.openxmlformats.org/officeDocument/2006/relationships/ctrlProp" Target="../ctrlProps/ctrlProp129.xml"/><Relationship Id="rId10" Type="http://schemas.openxmlformats.org/officeDocument/2006/relationships/ctrlProp" Target="../ctrlProps/ctrlProp82.xml"/><Relationship Id="rId31" Type="http://schemas.openxmlformats.org/officeDocument/2006/relationships/ctrlProp" Target="../ctrlProps/ctrlProp103.xml"/><Relationship Id="rId44" Type="http://schemas.openxmlformats.org/officeDocument/2006/relationships/ctrlProp" Target="../ctrlProps/ctrlProp116.xml"/><Relationship Id="rId52" Type="http://schemas.openxmlformats.org/officeDocument/2006/relationships/ctrlProp" Target="../ctrlProps/ctrlProp124.xml"/><Relationship Id="rId60" Type="http://schemas.openxmlformats.org/officeDocument/2006/relationships/ctrlProp" Target="../ctrlProps/ctrlProp132.xml"/><Relationship Id="rId4" Type="http://schemas.openxmlformats.org/officeDocument/2006/relationships/ctrlProp" Target="../ctrlProps/ctrlProp76.xml"/><Relationship Id="rId9" Type="http://schemas.openxmlformats.org/officeDocument/2006/relationships/ctrlProp" Target="../ctrlProps/ctrlProp8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2.xml"/><Relationship Id="rId3" Type="http://schemas.openxmlformats.org/officeDocument/2006/relationships/ctrlProp" Target="../ctrlProps/ctrlProp137.xml"/><Relationship Id="rId7" Type="http://schemas.openxmlformats.org/officeDocument/2006/relationships/ctrlProp" Target="../ctrlProps/ctrlProp141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8.xml"/><Relationship Id="rId6" Type="http://schemas.openxmlformats.org/officeDocument/2006/relationships/ctrlProp" Target="../ctrlProps/ctrlProp140.xml"/><Relationship Id="rId5" Type="http://schemas.openxmlformats.org/officeDocument/2006/relationships/ctrlProp" Target="../ctrlProps/ctrlProp139.xml"/><Relationship Id="rId4" Type="http://schemas.openxmlformats.org/officeDocument/2006/relationships/ctrlProp" Target="../ctrlProps/ctrlProp138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8.xml"/><Relationship Id="rId3" Type="http://schemas.openxmlformats.org/officeDocument/2006/relationships/ctrlProp" Target="../ctrlProps/ctrlProp143.xml"/><Relationship Id="rId7" Type="http://schemas.openxmlformats.org/officeDocument/2006/relationships/ctrlProp" Target="../ctrlProps/ctrlProp147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9.xml"/><Relationship Id="rId6" Type="http://schemas.openxmlformats.org/officeDocument/2006/relationships/ctrlProp" Target="../ctrlProps/ctrlProp146.xml"/><Relationship Id="rId5" Type="http://schemas.openxmlformats.org/officeDocument/2006/relationships/ctrlProp" Target="../ctrlProps/ctrlProp145.xml"/><Relationship Id="rId4" Type="http://schemas.openxmlformats.org/officeDocument/2006/relationships/ctrlProp" Target="../ctrlProps/ctrlProp144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49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10.xml"/><Relationship Id="rId6" Type="http://schemas.openxmlformats.org/officeDocument/2006/relationships/ctrlProp" Target="../ctrlProps/ctrlProp152.xml"/><Relationship Id="rId5" Type="http://schemas.openxmlformats.org/officeDocument/2006/relationships/ctrlProp" Target="../ctrlProps/ctrlProp151.xml"/><Relationship Id="rId4" Type="http://schemas.openxmlformats.org/officeDocument/2006/relationships/ctrlProp" Target="../ctrlProps/ctrlProp15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4"/>
  <sheetViews>
    <sheetView tabSelected="1" zoomScaleNormal="100" workbookViewId="0"/>
  </sheetViews>
  <sheetFormatPr defaultColWidth="11.5703125" defaultRowHeight="12.75" customHeight="1" x14ac:dyDescent="0.2"/>
  <sheetData>
    <row r="1" spans="1:14" x14ac:dyDescent="0.2"/>
    <row r="2" spans="1:14" x14ac:dyDescent="0.2">
      <c r="A2" s="1"/>
      <c r="B2" s="1"/>
      <c r="G2" s="1"/>
      <c r="H2" s="1"/>
      <c r="I2" s="1"/>
      <c r="M2" s="1"/>
      <c r="N2" s="1"/>
    </row>
    <row r="3" spans="1:14" ht="15" x14ac:dyDescent="0.25">
      <c r="A3" s="1"/>
      <c r="B3" s="1"/>
      <c r="C3" s="2"/>
      <c r="D3" s="1"/>
      <c r="E3" s="1"/>
      <c r="I3" s="1"/>
    </row>
    <row r="4" spans="1:14" x14ac:dyDescent="0.2">
      <c r="A4" s="1"/>
      <c r="B4" s="1"/>
      <c r="J4" s="1"/>
    </row>
    <row r="5" spans="1:14" x14ac:dyDescent="0.2">
      <c r="A5" s="1"/>
      <c r="B5" s="1"/>
      <c r="J5" s="1"/>
      <c r="K5" s="1"/>
      <c r="L5" s="1"/>
      <c r="M5" s="1"/>
      <c r="N5" s="1"/>
    </row>
    <row r="6" spans="1:14" ht="18.75" x14ac:dyDescent="0.3">
      <c r="A6" s="1"/>
      <c r="B6" s="1"/>
      <c r="F6" s="3" t="s">
        <v>0</v>
      </c>
      <c r="G6" s="4"/>
      <c r="H6" s="5"/>
      <c r="I6" s="6"/>
      <c r="J6" s="7"/>
      <c r="K6" s="7"/>
      <c r="L6" s="8" t="s">
        <v>1</v>
      </c>
      <c r="M6" s="7"/>
      <c r="N6" s="7"/>
    </row>
    <row r="7" spans="1:14" x14ac:dyDescent="0.2">
      <c r="A7" s="1"/>
      <c r="B7" s="1"/>
      <c r="G7" s="7"/>
      <c r="H7" s="7"/>
      <c r="I7" s="7"/>
      <c r="J7" s="7"/>
      <c r="K7" s="7"/>
      <c r="L7" s="7"/>
      <c r="M7" s="7"/>
      <c r="N7" s="7"/>
    </row>
    <row r="8" spans="1:14" x14ac:dyDescent="0.2">
      <c r="A8" s="1"/>
      <c r="B8" s="1"/>
      <c r="G8" s="7"/>
      <c r="H8" s="7"/>
      <c r="I8" s="7"/>
      <c r="J8" s="7"/>
      <c r="K8" s="7"/>
      <c r="L8" s="7"/>
      <c r="M8" s="7"/>
      <c r="N8" s="7"/>
    </row>
    <row r="9" spans="1:14" x14ac:dyDescent="0.2">
      <c r="A9" s="1"/>
      <c r="B9" s="1"/>
      <c r="K9" s="1"/>
      <c r="L9" s="1"/>
      <c r="M9" s="1"/>
      <c r="N9" s="1"/>
    </row>
    <row r="10" spans="1:14" x14ac:dyDescent="0.2">
      <c r="A10" s="1"/>
      <c r="B10" s="1"/>
      <c r="G10" s="1"/>
      <c r="H10" s="1"/>
      <c r="I10" s="1"/>
      <c r="K10" s="1"/>
      <c r="L10" s="1"/>
      <c r="M10" s="1"/>
      <c r="N10" s="1"/>
    </row>
    <row r="11" spans="1:14" x14ac:dyDescent="0.2">
      <c r="A11" s="1"/>
      <c r="B11" s="1"/>
      <c r="I11" s="1"/>
      <c r="K11" s="1"/>
      <c r="L11" s="1"/>
      <c r="M11" s="1"/>
      <c r="N11" s="1"/>
    </row>
    <row r="12" spans="1:14" x14ac:dyDescent="0.2">
      <c r="A12" s="1"/>
      <c r="B12" s="1"/>
      <c r="C12" s="1"/>
      <c r="D12" s="1"/>
      <c r="I12" s="1"/>
      <c r="L12" s="1"/>
      <c r="M12" s="1"/>
      <c r="N12" s="1"/>
    </row>
    <row r="13" spans="1:14" x14ac:dyDescent="0.2">
      <c r="A13" s="1"/>
      <c r="B13" s="1"/>
      <c r="C13" s="9"/>
      <c r="D13" s="1"/>
      <c r="I13" s="1"/>
      <c r="L13" s="1"/>
      <c r="M13" s="1"/>
      <c r="N13" s="1"/>
    </row>
    <row r="14" spans="1:14" x14ac:dyDescent="0.2">
      <c r="A14" s="1"/>
      <c r="B14" s="1"/>
      <c r="C14" s="1"/>
      <c r="F14" s="1"/>
      <c r="G14" s="1"/>
      <c r="H14" s="1"/>
      <c r="I14" s="1"/>
      <c r="L14" s="1"/>
      <c r="M14" s="1"/>
      <c r="N14" s="1"/>
    </row>
    <row r="15" spans="1:14" x14ac:dyDescent="0.2">
      <c r="A15" s="1"/>
      <c r="B15" s="1"/>
      <c r="D15" s="1"/>
      <c r="E15" s="1"/>
      <c r="F15" s="1"/>
      <c r="K15" s="1"/>
      <c r="L15" s="1"/>
      <c r="M15" s="1"/>
      <c r="N15" s="1"/>
    </row>
    <row r="16" spans="1:14" x14ac:dyDescent="0.2">
      <c r="A16" s="1"/>
      <c r="B16" s="1"/>
      <c r="J16" s="1"/>
      <c r="L16" s="1"/>
      <c r="M16" s="1"/>
      <c r="N16" s="1"/>
    </row>
    <row r="17" spans="1:14" x14ac:dyDescent="0.2">
      <c r="A17" s="1"/>
      <c r="B17" s="1"/>
      <c r="C17" s="1"/>
      <c r="J17" s="1"/>
      <c r="L17" s="1"/>
      <c r="M17" s="1"/>
      <c r="N17" s="1"/>
    </row>
    <row r="18" spans="1:14" ht="15" x14ac:dyDescent="0.25">
      <c r="A18" s="1"/>
      <c r="B18" s="1"/>
      <c r="C18" s="1"/>
      <c r="J18" s="10"/>
      <c r="K18" s="1"/>
      <c r="L18" s="1"/>
      <c r="M18" s="1"/>
      <c r="N18" s="1"/>
    </row>
    <row r="19" spans="1:14" ht="15" x14ac:dyDescent="0.25">
      <c r="A19" s="1"/>
      <c r="B19" s="1"/>
      <c r="C19" s="1"/>
      <c r="J19" s="10"/>
      <c r="K19" s="1"/>
      <c r="L19" s="1"/>
      <c r="M19" s="1"/>
      <c r="N19" s="1"/>
    </row>
    <row r="20" spans="1:14" ht="15" x14ac:dyDescent="0.25">
      <c r="A20" s="1"/>
      <c r="B20" s="1"/>
      <c r="C20" s="1"/>
      <c r="J20" s="10"/>
      <c r="K20" s="1"/>
      <c r="L20" s="1"/>
      <c r="M20" s="1"/>
      <c r="N20" s="1"/>
    </row>
    <row r="21" spans="1:14" x14ac:dyDescent="0.2"/>
    <row r="22" spans="1:14" ht="14.25" x14ac:dyDescent="0.2">
      <c r="G22" s="11"/>
      <c r="H22" s="12" t="s">
        <v>2</v>
      </c>
      <c r="I22" s="12"/>
    </row>
    <row r="23" spans="1:14" ht="14.25" x14ac:dyDescent="0.2">
      <c r="E23" s="1"/>
      <c r="G23" s="12"/>
      <c r="H23" s="12"/>
      <c r="I23" s="12"/>
    </row>
    <row r="24" spans="1:14" ht="14.25" x14ac:dyDescent="0.2">
      <c r="G24" s="12" t="s">
        <v>3</v>
      </c>
      <c r="H24" s="12"/>
      <c r="I24" s="12"/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134"/>
  <sheetViews>
    <sheetView zoomScaleNormal="100" workbookViewId="0"/>
  </sheetViews>
  <sheetFormatPr defaultColWidth="11.5703125" defaultRowHeight="12.75" customHeight="1" x14ac:dyDescent="0.2"/>
  <sheetData>
    <row r="1" spans="1:20" ht="15" x14ac:dyDescent="0.25">
      <c r="A1" s="17"/>
      <c r="B1" s="672" t="s">
        <v>244</v>
      </c>
      <c r="C1" s="673">
        <v>0.36349936396813098</v>
      </c>
      <c r="D1" s="17"/>
      <c r="E1" s="17"/>
      <c r="F1" s="17"/>
      <c r="G1" s="712" t="s">
        <v>247</v>
      </c>
      <c r="H1" s="17"/>
      <c r="I1" s="17"/>
      <c r="J1" s="17"/>
      <c r="K1" s="17"/>
      <c r="L1" s="17"/>
      <c r="M1" s="17"/>
      <c r="N1" s="9"/>
      <c r="O1" s="647"/>
      <c r="P1" s="9"/>
      <c r="Q1" s="17"/>
      <c r="R1" s="17"/>
      <c r="S1" s="17"/>
      <c r="T1" s="17"/>
    </row>
    <row r="2" spans="1:20" x14ac:dyDescent="0.2">
      <c r="A2" s="17"/>
      <c r="B2" s="417" t="s">
        <v>245</v>
      </c>
      <c r="C2" s="677">
        <v>1487.25597963772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spans="1:20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</row>
    <row r="4" spans="1:20" x14ac:dyDescent="0.2">
      <c r="A4" s="17"/>
      <c r="B4" s="648"/>
      <c r="C4" s="265"/>
      <c r="D4" s="649" t="s">
        <v>337</v>
      </c>
      <c r="E4" s="650">
        <v>5</v>
      </c>
      <c r="F4" s="650">
        <v>0.01</v>
      </c>
      <c r="G4" s="651">
        <v>9</v>
      </c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</row>
    <row r="5" spans="1:20" x14ac:dyDescent="0.2">
      <c r="A5" s="17"/>
      <c r="B5" s="648"/>
      <c r="C5" s="265"/>
      <c r="D5" s="648"/>
      <c r="E5" s="9"/>
      <c r="F5" s="9"/>
      <c r="G5" s="9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</row>
    <row r="6" spans="1:20" ht="15" x14ac:dyDescent="0.25">
      <c r="A6" s="17"/>
      <c r="B6" s="9"/>
      <c r="C6" s="101" t="s">
        <v>34</v>
      </c>
      <c r="D6" s="102" t="s">
        <v>13</v>
      </c>
      <c r="E6" s="102"/>
      <c r="F6" s="652"/>
      <c r="G6" s="652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</row>
    <row r="7" spans="1:20" x14ac:dyDescent="0.2">
      <c r="A7" s="17"/>
      <c r="B7" s="9"/>
      <c r="C7" s="17"/>
      <c r="D7" s="17"/>
      <c r="E7" s="17"/>
      <c r="F7" s="9"/>
      <c r="G7" s="9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1:20" x14ac:dyDescent="0.2">
      <c r="A8" s="17"/>
      <c r="B8" s="9" t="s">
        <v>21</v>
      </c>
      <c r="C8" s="9"/>
      <c r="D8" s="9">
        <v>7581.6</v>
      </c>
      <c r="E8" s="9" t="s">
        <v>253</v>
      </c>
      <c r="F8" s="9"/>
      <c r="G8" s="9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</row>
    <row r="9" spans="1:20" x14ac:dyDescent="0.2">
      <c r="A9" s="17"/>
      <c r="B9" s="9" t="s">
        <v>256</v>
      </c>
      <c r="C9" s="9"/>
      <c r="D9" s="9">
        <v>9.8410576351752805</v>
      </c>
      <c r="E9" s="9" t="s">
        <v>257</v>
      </c>
      <c r="F9" s="9">
        <v>21.383038812232702</v>
      </c>
      <c r="G9" s="9" t="s">
        <v>258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x14ac:dyDescent="0.2">
      <c r="A10" s="17"/>
      <c r="B10" s="9" t="s">
        <v>259</v>
      </c>
      <c r="C10" s="9"/>
      <c r="D10" s="9">
        <v>2244.25072972422</v>
      </c>
      <c r="E10" s="9" t="s">
        <v>260</v>
      </c>
      <c r="F10" s="9">
        <v>5.9232794493719396</v>
      </c>
      <c r="G10" s="9" t="s">
        <v>261</v>
      </c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</row>
    <row r="11" spans="1:20" x14ac:dyDescent="0.2">
      <c r="A11" s="17"/>
      <c r="B11" s="9" t="s">
        <v>262</v>
      </c>
      <c r="C11" s="9"/>
      <c r="D11" s="9">
        <v>557.48903477225804</v>
      </c>
      <c r="E11" s="9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x14ac:dyDescent="0.2">
      <c r="A12" s="17"/>
      <c r="B12" s="9" t="s">
        <v>265</v>
      </c>
      <c r="C12" s="9"/>
      <c r="D12" s="9"/>
      <c r="E12" s="9" t="s">
        <v>266</v>
      </c>
      <c r="F12" s="9">
        <v>22.172505966946002</v>
      </c>
      <c r="G12" s="9" t="s">
        <v>258</v>
      </c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</row>
    <row r="13" spans="1:20" x14ac:dyDescent="0.2">
      <c r="A13" s="17"/>
      <c r="B13" s="9" t="s">
        <v>75</v>
      </c>
      <c r="C13" s="9"/>
      <c r="D13" s="9">
        <v>19.999992932573001</v>
      </c>
      <c r="E13" s="9" t="s">
        <v>266</v>
      </c>
      <c r="F13" s="9">
        <v>75.525796375686795</v>
      </c>
      <c r="G13" s="9" t="s">
        <v>261</v>
      </c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</row>
    <row r="14" spans="1:20" x14ac:dyDescent="0.2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</row>
    <row r="15" spans="1:20" ht="15" x14ac:dyDescent="0.25">
      <c r="A15" s="9"/>
      <c r="B15" s="653" t="s">
        <v>264</v>
      </c>
      <c r="C15" s="654">
        <v>3355.3037165245801</v>
      </c>
      <c r="D15" s="654" t="s">
        <v>269</v>
      </c>
      <c r="E15" s="655" t="s">
        <v>270</v>
      </c>
      <c r="F15" s="654">
        <v>0</v>
      </c>
      <c r="G15" s="655" t="s">
        <v>271</v>
      </c>
      <c r="H15" s="656">
        <v>5.9764648121744196E-3</v>
      </c>
      <c r="I15" s="655" t="s">
        <v>272</v>
      </c>
      <c r="J15" s="657">
        <v>104.704141099705</v>
      </c>
      <c r="K15" s="17"/>
      <c r="L15" s="17"/>
      <c r="M15" s="17"/>
      <c r="N15" s="17"/>
      <c r="O15" s="17"/>
      <c r="P15" s="17"/>
      <c r="Q15" s="17"/>
      <c r="R15" s="17"/>
      <c r="S15" s="17"/>
      <c r="T15" s="17"/>
    </row>
    <row r="16" spans="1:20" ht="15" x14ac:dyDescent="0.25">
      <c r="A16" s="9"/>
      <c r="B16" s="658" t="s">
        <v>264</v>
      </c>
      <c r="C16" s="654">
        <v>3355.3037165245801</v>
      </c>
      <c r="D16" s="654" t="s">
        <v>269</v>
      </c>
      <c r="E16" s="659" t="s">
        <v>270</v>
      </c>
      <c r="F16" s="654">
        <v>0</v>
      </c>
      <c r="G16" s="659" t="s">
        <v>271</v>
      </c>
      <c r="H16" s="656">
        <v>2.04666971957222E-3</v>
      </c>
      <c r="I16" s="659" t="s">
        <v>272</v>
      </c>
      <c r="J16" s="657">
        <v>0.302161072082407</v>
      </c>
      <c r="K16" s="17"/>
      <c r="L16" s="9"/>
      <c r="M16" s="17"/>
      <c r="N16" s="17"/>
      <c r="O16" s="17"/>
      <c r="P16" s="17"/>
      <c r="Q16" s="17"/>
      <c r="R16" s="17"/>
      <c r="S16" s="17"/>
      <c r="T16" s="17"/>
    </row>
    <row r="17" spans="1:20" ht="15" x14ac:dyDescent="0.25">
      <c r="A17" s="9"/>
      <c r="B17" s="658" t="s">
        <v>264</v>
      </c>
      <c r="C17" s="654">
        <v>3355.3037165245801</v>
      </c>
      <c r="D17" s="654" t="s">
        <v>269</v>
      </c>
      <c r="E17" s="659" t="s">
        <v>270</v>
      </c>
      <c r="F17" s="654">
        <v>0</v>
      </c>
      <c r="G17" s="659" t="s">
        <v>271</v>
      </c>
      <c r="H17" s="656">
        <v>2.04666971957222E-3</v>
      </c>
      <c r="I17" s="659" t="s">
        <v>272</v>
      </c>
      <c r="J17" s="657">
        <v>18.331105039665999</v>
      </c>
      <c r="K17" s="17"/>
      <c r="L17" s="9"/>
      <c r="M17" s="17"/>
      <c r="N17" s="9"/>
      <c r="O17" s="17"/>
      <c r="P17" s="17"/>
      <c r="Q17" s="17"/>
      <c r="R17" s="17"/>
      <c r="S17" s="17"/>
      <c r="T17" s="17"/>
    </row>
    <row r="18" spans="1:20" ht="15" x14ac:dyDescent="0.25">
      <c r="A18" s="9"/>
      <c r="B18" s="658" t="s">
        <v>264</v>
      </c>
      <c r="C18" s="654">
        <v>3355.3037165245801</v>
      </c>
      <c r="D18" s="654" t="s">
        <v>269</v>
      </c>
      <c r="E18" s="659" t="s">
        <v>270</v>
      </c>
      <c r="F18" s="654">
        <v>0</v>
      </c>
      <c r="G18" s="659" t="s">
        <v>271</v>
      </c>
      <c r="H18" s="656">
        <v>2.04666971957222E-3</v>
      </c>
      <c r="I18" s="659" t="s">
        <v>272</v>
      </c>
      <c r="J18" s="657">
        <v>0.100720357360802</v>
      </c>
      <c r="K18" s="17"/>
      <c r="L18" s="17"/>
      <c r="M18" s="17"/>
      <c r="N18" s="9"/>
      <c r="O18" s="17"/>
      <c r="P18" s="17"/>
      <c r="Q18" s="17"/>
      <c r="R18" s="17"/>
      <c r="S18" s="17"/>
      <c r="T18" s="17"/>
    </row>
    <row r="19" spans="1:20" ht="15" x14ac:dyDescent="0.25">
      <c r="A19" s="9"/>
      <c r="B19" s="658" t="s">
        <v>264</v>
      </c>
      <c r="C19" s="654">
        <v>3355.3037165245801</v>
      </c>
      <c r="D19" s="654" t="s">
        <v>269</v>
      </c>
      <c r="E19" s="659" t="s">
        <v>270</v>
      </c>
      <c r="F19" s="654">
        <v>0</v>
      </c>
      <c r="G19" s="659" t="s">
        <v>271</v>
      </c>
      <c r="H19" s="656">
        <v>2.04666971957222E-3</v>
      </c>
      <c r="I19" s="659" t="s">
        <v>272</v>
      </c>
      <c r="J19" s="657">
        <v>7.4533064446993702</v>
      </c>
      <c r="K19" s="17"/>
      <c r="L19" s="17"/>
      <c r="M19" s="17"/>
      <c r="N19" s="9"/>
      <c r="O19" s="17"/>
      <c r="P19" s="17"/>
      <c r="Q19" s="17"/>
      <c r="R19" s="17"/>
      <c r="S19" s="17"/>
      <c r="T19" s="17"/>
    </row>
    <row r="20" spans="1:20" ht="15" x14ac:dyDescent="0.25">
      <c r="A20" s="9"/>
      <c r="B20" s="658" t="s">
        <v>264</v>
      </c>
      <c r="C20" s="654">
        <v>3355.3037165245801</v>
      </c>
      <c r="D20" s="654" t="s">
        <v>269</v>
      </c>
      <c r="E20" s="659" t="s">
        <v>270</v>
      </c>
      <c r="F20" s="654">
        <v>0</v>
      </c>
      <c r="G20" s="659" t="s">
        <v>271</v>
      </c>
      <c r="H20" s="656">
        <v>2.04666971957222E-3</v>
      </c>
      <c r="I20" s="659" t="s">
        <v>272</v>
      </c>
      <c r="J20" s="657">
        <v>0.100720357360802</v>
      </c>
      <c r="K20" s="9"/>
      <c r="L20" s="17"/>
      <c r="M20" s="17"/>
      <c r="N20" s="17"/>
      <c r="O20" s="17"/>
      <c r="P20" s="17"/>
      <c r="Q20" s="17"/>
      <c r="R20" s="17"/>
      <c r="S20" s="17"/>
      <c r="T20" s="17"/>
    </row>
    <row r="21" spans="1:20" ht="15" x14ac:dyDescent="0.25">
      <c r="A21" s="9"/>
      <c r="B21" s="658" t="s">
        <v>264</v>
      </c>
      <c r="C21" s="654">
        <v>3355.3037165245801</v>
      </c>
      <c r="D21" s="654" t="s">
        <v>269</v>
      </c>
      <c r="E21" s="659" t="s">
        <v>270</v>
      </c>
      <c r="F21" s="654">
        <v>0</v>
      </c>
      <c r="G21" s="659" t="s">
        <v>271</v>
      </c>
      <c r="H21" s="656">
        <v>2.04666971957222E-3</v>
      </c>
      <c r="I21" s="659" t="s">
        <v>272</v>
      </c>
      <c r="J21" s="657">
        <v>0.100720357360802</v>
      </c>
      <c r="K21" s="9"/>
      <c r="L21" s="17"/>
      <c r="M21" s="17"/>
      <c r="N21" s="17"/>
      <c r="O21" s="17"/>
      <c r="P21" s="17"/>
      <c r="Q21" s="17"/>
      <c r="R21" s="17"/>
      <c r="S21" s="17"/>
      <c r="T21" s="17"/>
    </row>
    <row r="22" spans="1:20" ht="15" x14ac:dyDescent="0.25">
      <c r="A22" s="9"/>
      <c r="B22" s="658" t="s">
        <v>264</v>
      </c>
      <c r="C22" s="654">
        <v>3355.3037165245801</v>
      </c>
      <c r="D22" s="654" t="s">
        <v>269</v>
      </c>
      <c r="E22" s="659" t="s">
        <v>270</v>
      </c>
      <c r="F22" s="654">
        <v>0</v>
      </c>
      <c r="G22" s="659" t="s">
        <v>271</v>
      </c>
      <c r="H22" s="656">
        <v>2.04666971957222E-3</v>
      </c>
      <c r="I22" s="659" t="s">
        <v>272</v>
      </c>
      <c r="J22" s="657">
        <v>0.100720357360802</v>
      </c>
      <c r="K22" s="9"/>
      <c r="L22" s="17"/>
      <c r="M22" s="17"/>
      <c r="N22" s="17"/>
      <c r="O22" s="17"/>
      <c r="P22" s="17"/>
      <c r="Q22" s="17"/>
      <c r="R22" s="17"/>
      <c r="S22" s="17"/>
      <c r="T22" s="17"/>
    </row>
    <row r="23" spans="1:20" ht="15" x14ac:dyDescent="0.25">
      <c r="A23" s="9"/>
      <c r="B23" s="658" t="s">
        <v>264</v>
      </c>
      <c r="C23" s="654">
        <v>3355.3037165245801</v>
      </c>
      <c r="D23" s="654" t="s">
        <v>269</v>
      </c>
      <c r="E23" s="659" t="s">
        <v>270</v>
      </c>
      <c r="F23" s="654">
        <v>0</v>
      </c>
      <c r="G23" s="659" t="s">
        <v>271</v>
      </c>
      <c r="H23" s="656">
        <v>2.04666971957222E-3</v>
      </c>
      <c r="I23" s="659" t="s">
        <v>272</v>
      </c>
      <c r="J23" s="657">
        <v>0.100720357360802</v>
      </c>
      <c r="K23" s="9"/>
      <c r="L23" s="17"/>
      <c r="M23" s="17"/>
      <c r="N23" s="17"/>
      <c r="O23" s="17"/>
      <c r="P23" s="17"/>
      <c r="Q23" s="17"/>
      <c r="R23" s="17"/>
      <c r="S23" s="17"/>
      <c r="T23" s="17"/>
    </row>
    <row r="24" spans="1:20" ht="15" x14ac:dyDescent="0.25">
      <c r="A24" s="9"/>
      <c r="B24" s="658" t="s">
        <v>264</v>
      </c>
      <c r="C24" s="654">
        <v>3355.3037165245801</v>
      </c>
      <c r="D24" s="654" t="s">
        <v>269</v>
      </c>
      <c r="E24" s="659" t="s">
        <v>270</v>
      </c>
      <c r="F24" s="654">
        <v>0</v>
      </c>
      <c r="G24" s="659" t="s">
        <v>271</v>
      </c>
      <c r="H24" s="656">
        <v>2.04666971957222E-3</v>
      </c>
      <c r="I24" s="659" t="s">
        <v>272</v>
      </c>
      <c r="J24" s="657">
        <v>8.8633914477505993</v>
      </c>
      <c r="K24" s="9"/>
      <c r="L24" s="17"/>
      <c r="M24" s="17"/>
      <c r="N24" s="17"/>
      <c r="O24" s="17"/>
      <c r="P24" s="17"/>
      <c r="Q24" s="17"/>
      <c r="R24" s="17"/>
      <c r="S24" s="17"/>
      <c r="T24" s="17"/>
    </row>
    <row r="25" spans="1:20" ht="15" x14ac:dyDescent="0.25">
      <c r="A25" s="9"/>
      <c r="B25" s="658" t="s">
        <v>264</v>
      </c>
      <c r="C25" s="654">
        <v>3355.3037165245801</v>
      </c>
      <c r="D25" s="654" t="s">
        <v>269</v>
      </c>
      <c r="E25" s="659" t="s">
        <v>270</v>
      </c>
      <c r="F25" s="654">
        <v>0</v>
      </c>
      <c r="G25" s="659" t="s">
        <v>271</v>
      </c>
      <c r="H25" s="656">
        <v>2.04666971957222E-3</v>
      </c>
      <c r="I25" s="659" t="s">
        <v>272</v>
      </c>
      <c r="J25" s="657">
        <v>0.302161072082407</v>
      </c>
      <c r="K25" s="9"/>
      <c r="L25" s="17"/>
      <c r="M25" s="17"/>
      <c r="N25" s="17"/>
      <c r="O25" s="17"/>
      <c r="P25" s="17"/>
      <c r="Q25" s="17"/>
      <c r="R25" s="17"/>
      <c r="S25" s="17"/>
      <c r="T25" s="17"/>
    </row>
    <row r="26" spans="1:20" ht="15" x14ac:dyDescent="0.25">
      <c r="A26" s="9"/>
      <c r="B26" s="658"/>
      <c r="C26" s="654"/>
      <c r="D26" s="659"/>
      <c r="E26" s="659" t="s">
        <v>282</v>
      </c>
      <c r="F26" s="654">
        <v>0</v>
      </c>
      <c r="G26" s="659"/>
      <c r="H26" s="660"/>
      <c r="I26" s="659" t="s">
        <v>282</v>
      </c>
      <c r="J26" s="661">
        <v>104.704141099705</v>
      </c>
      <c r="K26" s="9"/>
      <c r="L26" s="9"/>
      <c r="M26" s="17"/>
      <c r="N26" s="17"/>
      <c r="O26" s="17"/>
      <c r="P26" s="17"/>
      <c r="Q26" s="17"/>
      <c r="R26" s="17"/>
      <c r="S26" s="17"/>
      <c r="T26" s="17"/>
    </row>
    <row r="27" spans="1:20" ht="15" x14ac:dyDescent="0.25">
      <c r="A27" s="9" t="s">
        <v>261</v>
      </c>
      <c r="B27" s="658" t="s">
        <v>264</v>
      </c>
      <c r="C27" s="654">
        <v>1321.14767364111</v>
      </c>
      <c r="D27" s="662" t="s">
        <v>278</v>
      </c>
      <c r="E27" s="659" t="s">
        <v>270</v>
      </c>
      <c r="F27" s="654">
        <v>25.4002741932565</v>
      </c>
      <c r="G27" s="659" t="s">
        <v>271</v>
      </c>
      <c r="H27" s="663">
        <v>0</v>
      </c>
      <c r="I27" s="659" t="s">
        <v>284</v>
      </c>
      <c r="J27" s="664">
        <v>5</v>
      </c>
      <c r="K27" s="9"/>
      <c r="L27" s="9"/>
      <c r="M27" s="9"/>
      <c r="N27" s="17"/>
      <c r="O27" s="17"/>
      <c r="P27" s="17"/>
      <c r="Q27" s="17"/>
      <c r="R27" s="17"/>
      <c r="S27" s="17"/>
      <c r="T27" s="17"/>
    </row>
    <row r="28" spans="1:20" ht="15" x14ac:dyDescent="0.25">
      <c r="A28" s="9" t="s">
        <v>286</v>
      </c>
      <c r="B28" s="665" t="s">
        <v>264</v>
      </c>
      <c r="C28" s="654">
        <v>351.67023140364199</v>
      </c>
      <c r="D28" s="666" t="s">
        <v>278</v>
      </c>
      <c r="E28" s="667" t="s">
        <v>270</v>
      </c>
      <c r="F28" s="654">
        <v>141.91250387640599</v>
      </c>
      <c r="G28" s="667" t="s">
        <v>271</v>
      </c>
      <c r="H28" s="666">
        <v>0</v>
      </c>
      <c r="I28" s="667" t="s">
        <v>284</v>
      </c>
      <c r="J28" s="668">
        <v>0</v>
      </c>
      <c r="K28" s="17"/>
      <c r="L28" s="17"/>
      <c r="M28" s="9"/>
      <c r="N28" s="17"/>
      <c r="O28" s="17"/>
      <c r="P28" s="17"/>
      <c r="Q28" s="17"/>
      <c r="R28" s="17"/>
      <c r="S28" s="17"/>
      <c r="T28" s="17"/>
    </row>
    <row r="29" spans="1:20" x14ac:dyDescent="0.2">
      <c r="A29" s="9"/>
      <c r="B29" s="9"/>
      <c r="C29" s="9"/>
      <c r="D29" s="9"/>
      <c r="E29" s="9"/>
      <c r="F29" s="9">
        <v>167.31277806966199</v>
      </c>
      <c r="G29" s="9"/>
      <c r="H29" s="9"/>
      <c r="I29" s="9"/>
      <c r="J29" s="9">
        <v>109.704141099705</v>
      </c>
      <c r="K29" s="17"/>
      <c r="L29" s="17"/>
      <c r="M29" s="17"/>
      <c r="N29" s="17"/>
      <c r="O29" s="17"/>
      <c r="P29" s="17"/>
      <c r="Q29" s="17"/>
      <c r="R29" s="17"/>
      <c r="S29" s="17"/>
      <c r="T29" s="17"/>
    </row>
    <row r="30" spans="1:20" x14ac:dyDescent="0.2">
      <c r="A30" s="9" t="s">
        <v>288</v>
      </c>
      <c r="B30" s="9"/>
      <c r="C30" s="9"/>
      <c r="D30" s="9">
        <v>7858.6169191693698</v>
      </c>
      <c r="E30" s="9"/>
      <c r="F30" s="17"/>
      <c r="G30" s="17"/>
      <c r="H30" s="17"/>
      <c r="I30" s="9"/>
      <c r="J30" s="669"/>
      <c r="K30" s="17"/>
      <c r="L30" s="17"/>
      <c r="M30" s="17"/>
      <c r="N30" s="17"/>
      <c r="O30" s="17"/>
      <c r="P30" s="17"/>
      <c r="Q30" s="17"/>
      <c r="R30" s="17"/>
      <c r="S30" s="17"/>
      <c r="T30" s="17"/>
    </row>
    <row r="31" spans="1:20" ht="15" x14ac:dyDescent="0.25">
      <c r="A31" s="102" t="s">
        <v>123</v>
      </c>
      <c r="B31" s="102"/>
      <c r="C31" s="102"/>
      <c r="D31" s="17"/>
      <c r="E31" s="9"/>
      <c r="F31" s="9" t="s">
        <v>292</v>
      </c>
      <c r="G31" s="9"/>
      <c r="H31" s="9">
        <v>277.01691916936699</v>
      </c>
      <c r="I31" s="9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</row>
    <row r="32" spans="1:20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</row>
    <row r="33" spans="1:20" x14ac:dyDescent="0.2">
      <c r="A33" s="17"/>
      <c r="B33" s="9" t="s">
        <v>296</v>
      </c>
      <c r="C33" s="9"/>
      <c r="D33" s="9"/>
      <c r="E33" s="9"/>
      <c r="F33" s="9"/>
      <c r="G33" s="9"/>
      <c r="H33" s="9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</row>
    <row r="34" spans="1:20" ht="14.25" x14ac:dyDescent="0.2">
      <c r="A34" s="17"/>
      <c r="B34" s="670" t="s">
        <v>298</v>
      </c>
      <c r="C34" s="646"/>
      <c r="D34" s="646"/>
      <c r="E34" s="671"/>
      <c r="F34" s="670" t="s">
        <v>299</v>
      </c>
      <c r="G34" s="646"/>
      <c r="H34" s="671">
        <v>0</v>
      </c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spans="1:20" x14ac:dyDescent="0.2">
      <c r="A35" s="17"/>
      <c r="B35" s="672" t="s">
        <v>301</v>
      </c>
      <c r="C35" s="9"/>
      <c r="D35" s="9" t="s">
        <v>302</v>
      </c>
      <c r="E35" s="673">
        <v>9.92718297114045</v>
      </c>
      <c r="F35" s="672" t="s">
        <v>301</v>
      </c>
      <c r="G35" s="9" t="s">
        <v>303</v>
      </c>
      <c r="H35" s="673">
        <v>231.74990287981001</v>
      </c>
      <c r="I35" s="17"/>
      <c r="J35" s="17"/>
      <c r="K35" s="17"/>
      <c r="L35" s="17"/>
      <c r="M35" s="563" t="s">
        <v>248</v>
      </c>
      <c r="N35" s="564" t="s">
        <v>263</v>
      </c>
      <c r="O35" s="565" t="s">
        <v>264</v>
      </c>
      <c r="Q35" s="17"/>
      <c r="R35" s="17"/>
      <c r="S35" s="17"/>
      <c r="T35" s="17"/>
    </row>
    <row r="36" spans="1:20" x14ac:dyDescent="0.2">
      <c r="A36" s="17"/>
      <c r="B36" s="672"/>
      <c r="C36" s="9"/>
      <c r="D36" s="9" t="s">
        <v>304</v>
      </c>
      <c r="E36" s="673">
        <v>9.92718297114045</v>
      </c>
      <c r="F36" s="672"/>
      <c r="G36" s="9" t="s">
        <v>305</v>
      </c>
      <c r="H36" s="673">
        <v>2427.8561254075298</v>
      </c>
      <c r="I36" s="17"/>
      <c r="J36" s="17"/>
      <c r="K36" s="17"/>
      <c r="L36" s="17"/>
      <c r="M36" s="567">
        <v>4.4999999999999998E-2</v>
      </c>
      <c r="N36" s="568">
        <v>57.15</v>
      </c>
      <c r="O36" s="569">
        <f>N48</f>
        <v>20139.2657583117</v>
      </c>
      <c r="Q36" s="17"/>
      <c r="R36" s="17"/>
      <c r="S36" s="17"/>
      <c r="T36" s="17"/>
    </row>
    <row r="37" spans="1:20" x14ac:dyDescent="0.2">
      <c r="A37" s="17"/>
      <c r="B37" s="672" t="s">
        <v>132</v>
      </c>
      <c r="C37" s="9"/>
      <c r="D37" s="9" t="s">
        <v>218</v>
      </c>
      <c r="E37" s="673">
        <v>14.518536758114299</v>
      </c>
      <c r="F37" s="672"/>
      <c r="G37" s="9" t="s">
        <v>306</v>
      </c>
      <c r="H37" s="674">
        <v>9.5000000000000001E-2</v>
      </c>
      <c r="I37" s="17"/>
      <c r="J37" s="17"/>
      <c r="K37" s="17"/>
      <c r="L37" s="17"/>
      <c r="M37" s="567">
        <v>4.4999999999999998E-2</v>
      </c>
      <c r="N37" s="568">
        <v>108.58499999999999</v>
      </c>
      <c r="O37" s="569">
        <f>N49</f>
        <v>3111.78439841912</v>
      </c>
      <c r="Q37" s="17"/>
      <c r="R37" s="17"/>
      <c r="S37" s="17"/>
      <c r="T37" s="17"/>
    </row>
    <row r="38" spans="1:20" x14ac:dyDescent="0.2">
      <c r="A38" s="17"/>
      <c r="B38" s="417"/>
      <c r="C38" s="675"/>
      <c r="D38" s="675"/>
      <c r="E38" s="676"/>
      <c r="F38" s="672" t="s">
        <v>307</v>
      </c>
      <c r="G38" s="17">
        <v>3420</v>
      </c>
      <c r="H38" s="673"/>
      <c r="I38" s="17"/>
      <c r="J38" s="17"/>
      <c r="K38" s="17"/>
      <c r="L38" s="17"/>
      <c r="Q38" s="17"/>
      <c r="R38" s="17"/>
      <c r="S38" s="17"/>
      <c r="T38" s="17"/>
    </row>
    <row r="39" spans="1:20" x14ac:dyDescent="0.2">
      <c r="A39" s="17"/>
      <c r="B39" s="17"/>
      <c r="C39" s="17"/>
      <c r="D39" s="17"/>
      <c r="E39" s="9"/>
      <c r="F39" s="417" t="s">
        <v>132</v>
      </c>
      <c r="G39" s="675"/>
      <c r="H39" s="677">
        <v>0</v>
      </c>
      <c r="I39" s="17"/>
      <c r="J39" s="17"/>
      <c r="K39" s="17"/>
      <c r="L39" s="17"/>
      <c r="Q39" s="17"/>
      <c r="R39" s="17"/>
      <c r="S39" s="17"/>
      <c r="T39" s="17"/>
    </row>
    <row r="40" spans="1:20" x14ac:dyDescent="0.2">
      <c r="A40" s="9"/>
      <c r="B40" s="9"/>
      <c r="C40" s="9"/>
      <c r="D40" s="9"/>
      <c r="E40" s="9"/>
      <c r="F40" s="17"/>
      <c r="G40" s="17"/>
      <c r="H40" s="9"/>
      <c r="I40" s="17"/>
      <c r="J40" s="17"/>
      <c r="K40" s="17"/>
      <c r="L40" s="17"/>
      <c r="P40" s="570" t="s">
        <v>268</v>
      </c>
      <c r="Q40" s="17"/>
      <c r="R40" s="17"/>
      <c r="S40" s="17"/>
      <c r="T40" s="17"/>
    </row>
    <row r="41" spans="1:20" x14ac:dyDescent="0.2">
      <c r="A41" s="17"/>
      <c r="B41" s="17"/>
      <c r="C41" s="17"/>
      <c r="D41" s="17"/>
      <c r="E41" s="17"/>
      <c r="F41" s="17"/>
      <c r="G41" s="17"/>
      <c r="H41" s="9"/>
      <c r="I41" s="17"/>
      <c r="J41" s="17"/>
      <c r="K41" s="17"/>
      <c r="L41" s="17"/>
      <c r="P41" s="571">
        <f>IF(O36&lt;2500,16/O36,1/(-4*LOG(((M36/N36)/3.7065)-(5.0452/O36)*LOG((M36/N36)^1.1098/2.8257+(7.149/O36)^0.8981)))^2)-0.002</f>
        <v>4.8887325209741057E-3</v>
      </c>
      <c r="Q41" s="17"/>
      <c r="R41" s="17"/>
      <c r="S41" s="17"/>
      <c r="T41" s="17"/>
    </row>
    <row r="42" spans="1:20" x14ac:dyDescent="0.2">
      <c r="A42" s="17"/>
      <c r="B42" s="418" t="s">
        <v>192</v>
      </c>
      <c r="C42" s="431">
        <v>5256360</v>
      </c>
      <c r="D42" s="671">
        <v>0</v>
      </c>
      <c r="E42" s="17"/>
      <c r="F42" s="17"/>
      <c r="G42" s="17"/>
      <c r="H42" s="17"/>
      <c r="I42" s="17"/>
      <c r="J42" s="17"/>
      <c r="K42" s="17"/>
      <c r="L42" s="9"/>
      <c r="M42" s="17"/>
      <c r="N42" s="17"/>
      <c r="O42" s="17"/>
      <c r="P42" s="571">
        <f>IF(O37&lt;2500,16/O37,1/(-4*LOG(((M37/N37)/3.7065)-(5.0452/O37)*LOG((M37/N37)^1.1098/2.8257+(7.149/O37)^0.8981)))^2)-0.001</f>
        <v>9.8139678310323053E-3</v>
      </c>
      <c r="Q42" s="17"/>
      <c r="R42" s="17"/>
      <c r="S42" s="17"/>
      <c r="T42" s="17"/>
    </row>
    <row r="43" spans="1:20" x14ac:dyDescent="0.2">
      <c r="A43" s="17"/>
      <c r="B43" s="678"/>
      <c r="C43" s="9"/>
      <c r="D43" s="673">
        <v>0</v>
      </c>
      <c r="E43" s="17"/>
      <c r="F43" s="17"/>
      <c r="G43" s="17"/>
      <c r="H43" s="17"/>
      <c r="I43" s="17"/>
      <c r="J43" s="17"/>
      <c r="K43" s="17"/>
      <c r="L43" s="9"/>
      <c r="M43" s="9"/>
      <c r="N43" s="9"/>
      <c r="O43" s="9"/>
      <c r="P43" s="9"/>
      <c r="Q43" s="17"/>
      <c r="R43" s="17"/>
      <c r="S43" s="17"/>
      <c r="T43" s="17"/>
    </row>
    <row r="44" spans="1:20" x14ac:dyDescent="0.2">
      <c r="A44" s="17"/>
      <c r="B44" s="672" t="s">
        <v>193</v>
      </c>
      <c r="C44" s="9">
        <v>1.375</v>
      </c>
      <c r="D44" s="452"/>
      <c r="E44" s="17"/>
      <c r="F44" s="17"/>
      <c r="G44" s="679" t="s">
        <v>135</v>
      </c>
      <c r="H44" s="680">
        <v>57</v>
      </c>
      <c r="I44" s="9"/>
      <c r="J44" s="17"/>
      <c r="K44" s="17"/>
      <c r="L44" s="9"/>
      <c r="M44" s="9"/>
      <c r="N44" s="9"/>
      <c r="O44" s="9"/>
      <c r="P44" s="9"/>
      <c r="Q44" s="17"/>
      <c r="R44" s="17"/>
      <c r="S44" s="17"/>
      <c r="T44" s="17"/>
    </row>
    <row r="45" spans="1:20" ht="15" x14ac:dyDescent="0.25">
      <c r="A45" s="17"/>
      <c r="B45" s="672" t="s">
        <v>194</v>
      </c>
      <c r="C45" s="9">
        <v>5.9365625</v>
      </c>
      <c r="D45" s="452"/>
      <c r="E45" s="17"/>
      <c r="F45" s="17"/>
      <c r="G45" s="681" t="s">
        <v>136</v>
      </c>
      <c r="H45" s="681">
        <v>28</v>
      </c>
      <c r="I45" s="682">
        <v>277.01691916936699</v>
      </c>
      <c r="J45" s="9"/>
      <c r="K45" s="683"/>
      <c r="L45" s="645"/>
      <c r="M45" s="646" t="s">
        <v>273</v>
      </c>
      <c r="N45" s="431"/>
      <c r="O45" s="431" t="s">
        <v>274</v>
      </c>
      <c r="P45" s="431">
        <v>0.8</v>
      </c>
      <c r="Q45" s="431"/>
      <c r="R45" s="431"/>
      <c r="S45" s="686"/>
      <c r="T45" s="17"/>
    </row>
    <row r="46" spans="1:20" x14ac:dyDescent="0.2">
      <c r="A46" s="17"/>
      <c r="B46" s="672" t="s">
        <v>195</v>
      </c>
      <c r="C46" s="17">
        <v>24.4331534885096</v>
      </c>
      <c r="D46" s="673">
        <v>6.3686926277032203</v>
      </c>
      <c r="E46" s="17"/>
      <c r="F46" s="17"/>
      <c r="G46" s="659" t="s">
        <v>311</v>
      </c>
      <c r="H46" s="684"/>
      <c r="I46" s="685">
        <v>330</v>
      </c>
      <c r="J46" s="17"/>
      <c r="K46" s="17"/>
      <c r="L46" s="672"/>
      <c r="M46" s="9"/>
      <c r="N46" s="17"/>
      <c r="O46" s="17"/>
      <c r="P46" s="17"/>
      <c r="Q46" s="17"/>
      <c r="R46" s="17"/>
      <c r="S46" s="452"/>
      <c r="T46" s="17"/>
    </row>
    <row r="47" spans="1:20" x14ac:dyDescent="0.2">
      <c r="A47" s="17"/>
      <c r="B47" s="672" t="s">
        <v>196</v>
      </c>
      <c r="C47" s="9">
        <v>0</v>
      </c>
      <c r="D47" s="673"/>
      <c r="E47" s="17"/>
      <c r="F47" s="17"/>
      <c r="G47" s="659" t="s">
        <v>338</v>
      </c>
      <c r="H47" s="684"/>
      <c r="I47" s="685">
        <v>7581.6</v>
      </c>
      <c r="J47" s="17"/>
      <c r="K47" s="17"/>
      <c r="L47" s="672"/>
      <c r="M47" s="9" t="s">
        <v>276</v>
      </c>
      <c r="N47" s="17"/>
      <c r="O47" s="17"/>
      <c r="P47" s="17"/>
      <c r="Q47" s="17"/>
      <c r="R47" s="17"/>
      <c r="S47" s="452"/>
      <c r="T47" s="17"/>
    </row>
    <row r="48" spans="1:20" x14ac:dyDescent="0.2">
      <c r="A48" s="17"/>
      <c r="B48" s="417" t="s">
        <v>200</v>
      </c>
      <c r="C48" s="430">
        <v>0</v>
      </c>
      <c r="D48" s="677"/>
      <c r="E48" s="17"/>
      <c r="F48" s="54"/>
      <c r="G48" s="17"/>
      <c r="H48" s="17"/>
      <c r="I48" s="17"/>
      <c r="J48" s="17"/>
      <c r="K48" s="17"/>
      <c r="L48" s="672" t="s">
        <v>277</v>
      </c>
      <c r="M48" s="9"/>
      <c r="N48" s="9">
        <v>20139.2657583117</v>
      </c>
      <c r="O48" s="17">
        <v>4.9260052921355699E-3</v>
      </c>
      <c r="P48" s="17">
        <v>274.16555707250802</v>
      </c>
      <c r="Q48" s="17" t="s">
        <v>22</v>
      </c>
      <c r="R48" s="17" t="s">
        <v>278</v>
      </c>
      <c r="S48" s="452">
        <v>0</v>
      </c>
      <c r="T48" s="17"/>
    </row>
    <row r="49" spans="1:20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672" t="s">
        <v>279</v>
      </c>
      <c r="M49" s="9"/>
      <c r="N49" s="9">
        <v>3111.78439841912</v>
      </c>
      <c r="O49" s="17">
        <v>1.0577297424926E-2</v>
      </c>
      <c r="P49" s="17">
        <v>455.16700618802901</v>
      </c>
      <c r="Q49" s="17" t="s">
        <v>22</v>
      </c>
      <c r="R49" s="17" t="s">
        <v>278</v>
      </c>
      <c r="S49" s="452">
        <v>0</v>
      </c>
      <c r="T49" s="17"/>
    </row>
    <row r="50" spans="1:20" x14ac:dyDescent="0.2">
      <c r="A50" s="17"/>
      <c r="B50" s="17"/>
      <c r="C50" s="17"/>
      <c r="D50" s="17"/>
      <c r="E50" s="17"/>
      <c r="F50" s="17"/>
      <c r="G50" s="17"/>
      <c r="H50" s="645" t="s">
        <v>309</v>
      </c>
      <c r="I50" s="431"/>
      <c r="J50" s="671">
        <v>0</v>
      </c>
      <c r="K50" s="17" t="s">
        <v>22</v>
      </c>
      <c r="L50" s="672"/>
      <c r="M50" s="9"/>
      <c r="N50" s="9"/>
      <c r="O50" s="17" t="s">
        <v>267</v>
      </c>
      <c r="P50" s="17">
        <v>729.33256326053595</v>
      </c>
      <c r="Q50" s="17" t="s">
        <v>22</v>
      </c>
      <c r="R50" s="17"/>
      <c r="S50" s="452"/>
      <c r="T50" s="17"/>
    </row>
    <row r="51" spans="1:20" ht="15" x14ac:dyDescent="0.25">
      <c r="A51" s="17"/>
      <c r="B51" s="17"/>
      <c r="C51" s="17"/>
      <c r="D51" s="17"/>
      <c r="E51" s="17"/>
      <c r="F51" s="17"/>
      <c r="G51" s="17"/>
      <c r="H51" s="678"/>
      <c r="I51" s="9"/>
      <c r="J51" s="687">
        <v>0</v>
      </c>
      <c r="K51" s="17"/>
      <c r="L51" s="672"/>
      <c r="M51" s="9"/>
      <c r="N51" s="17"/>
      <c r="O51" s="17"/>
      <c r="P51" s="17"/>
      <c r="Q51" s="17"/>
      <c r="R51" s="17"/>
      <c r="S51" s="452"/>
      <c r="T51" s="17"/>
    </row>
    <row r="52" spans="1:20" ht="15" x14ac:dyDescent="0.25">
      <c r="A52" s="17"/>
      <c r="B52" s="688" t="s">
        <v>161</v>
      </c>
      <c r="C52" s="689"/>
      <c r="D52" s="689"/>
      <c r="E52" s="690"/>
      <c r="F52" s="9"/>
      <c r="G52" s="17"/>
      <c r="H52" s="672" t="s">
        <v>174</v>
      </c>
      <c r="I52" s="9"/>
      <c r="J52" s="691">
        <v>0</v>
      </c>
      <c r="K52" s="17" t="s">
        <v>175</v>
      </c>
      <c r="L52" s="672"/>
      <c r="M52" s="9"/>
      <c r="N52" s="17" t="s">
        <v>280</v>
      </c>
      <c r="O52" s="17" t="s">
        <v>267</v>
      </c>
      <c r="P52" s="9">
        <v>1006.3494824299</v>
      </c>
      <c r="Q52" s="17" t="s">
        <v>22</v>
      </c>
      <c r="R52" s="17"/>
      <c r="S52" s="452"/>
      <c r="T52" s="17"/>
    </row>
    <row r="53" spans="1:20" ht="15" x14ac:dyDescent="0.25">
      <c r="A53" s="17"/>
      <c r="B53" s="418" t="s">
        <v>95</v>
      </c>
      <c r="C53" s="431"/>
      <c r="D53" s="646">
        <v>0</v>
      </c>
      <c r="E53" s="686"/>
      <c r="F53" s="9"/>
      <c r="G53" s="17"/>
      <c r="H53" s="672" t="s">
        <v>176</v>
      </c>
      <c r="I53" s="9"/>
      <c r="J53" s="691">
        <v>0</v>
      </c>
      <c r="K53" s="9" t="s">
        <v>175</v>
      </c>
      <c r="L53" s="672"/>
      <c r="M53" s="9"/>
      <c r="N53" s="17" t="s">
        <v>281</v>
      </c>
      <c r="O53" s="17"/>
      <c r="P53" s="17">
        <v>30</v>
      </c>
      <c r="Q53" s="17" t="s">
        <v>22</v>
      </c>
      <c r="R53" s="17"/>
      <c r="S53" s="452"/>
      <c r="T53" s="17"/>
    </row>
    <row r="54" spans="1:20" ht="15" x14ac:dyDescent="0.25">
      <c r="A54" s="9"/>
      <c r="B54" s="678" t="s">
        <v>97</v>
      </c>
      <c r="C54" s="17"/>
      <c r="D54" s="682">
        <v>200</v>
      </c>
      <c r="E54" s="452" t="s">
        <v>175</v>
      </c>
      <c r="F54" s="9"/>
      <c r="G54" s="17"/>
      <c r="H54" s="672" t="s">
        <v>177</v>
      </c>
      <c r="I54" s="9"/>
      <c r="J54" s="691">
        <v>0</v>
      </c>
      <c r="K54" s="9"/>
      <c r="L54" s="672"/>
      <c r="M54" s="17"/>
      <c r="N54" s="17"/>
      <c r="O54" s="17"/>
      <c r="P54" s="9"/>
      <c r="Q54" s="17"/>
      <c r="R54" s="17"/>
      <c r="S54" s="682"/>
      <c r="T54" s="17"/>
    </row>
    <row r="55" spans="1:20" ht="15" x14ac:dyDescent="0.25">
      <c r="A55" s="17"/>
      <c r="B55" s="678" t="s">
        <v>313</v>
      </c>
      <c r="C55" s="17"/>
      <c r="D55" s="102">
        <v>0.14000000000000001</v>
      </c>
      <c r="E55" s="452"/>
      <c r="F55" s="9"/>
      <c r="G55" s="17"/>
      <c r="H55" s="17"/>
      <c r="I55" s="17"/>
      <c r="J55" s="17"/>
      <c r="K55" s="9"/>
      <c r="L55" s="672"/>
      <c r="M55" s="17"/>
      <c r="N55" s="17"/>
      <c r="Q55" s="407"/>
      <c r="R55" s="54"/>
      <c r="S55" s="54" t="s">
        <v>283</v>
      </c>
      <c r="T55" s="17"/>
    </row>
    <row r="56" spans="1:20" ht="15" x14ac:dyDescent="0.25">
      <c r="A56" s="17"/>
      <c r="B56" s="678" t="s">
        <v>162</v>
      </c>
      <c r="C56" s="17"/>
      <c r="D56" s="17"/>
      <c r="E56" s="695">
        <v>42.483120836674203</v>
      </c>
      <c r="F56" s="9"/>
      <c r="G56" s="17"/>
      <c r="H56" s="17"/>
      <c r="I56" s="17"/>
      <c r="J56" s="17"/>
      <c r="K56" s="17"/>
      <c r="L56" s="672"/>
      <c r="M56" s="17"/>
      <c r="N56" s="17"/>
      <c r="O56" s="54" t="s">
        <v>285</v>
      </c>
      <c r="P56" s="581">
        <v>2515.8737060747599</v>
      </c>
      <c r="Q56" s="581"/>
      <c r="R56" s="54"/>
      <c r="S56" s="581">
        <v>1898.77260835831</v>
      </c>
      <c r="T56" s="17"/>
    </row>
    <row r="57" spans="1:20" x14ac:dyDescent="0.2">
      <c r="A57" s="17"/>
      <c r="B57" s="678" t="s">
        <v>314</v>
      </c>
      <c r="C57" s="17"/>
      <c r="D57" s="9">
        <v>5.9476369171343801</v>
      </c>
      <c r="E57" s="452"/>
      <c r="F57" s="9"/>
      <c r="G57" s="17"/>
      <c r="H57" s="692" t="s">
        <v>310</v>
      </c>
      <c r="I57" s="693"/>
      <c r="J57" s="694">
        <v>0</v>
      </c>
      <c r="K57" s="17"/>
      <c r="L57" s="672"/>
      <c r="M57" s="9"/>
      <c r="N57" s="17"/>
      <c r="O57" s="594" t="s">
        <v>287</v>
      </c>
      <c r="P57" s="595">
        <v>1509.5242236448501</v>
      </c>
      <c r="Q57" s="595"/>
      <c r="R57" s="594"/>
      <c r="S57" s="595">
        <v>892.42312592840506</v>
      </c>
      <c r="T57" s="17"/>
    </row>
    <row r="58" spans="1:20" x14ac:dyDescent="0.2">
      <c r="A58" s="17"/>
      <c r="B58" s="678" t="s">
        <v>164</v>
      </c>
      <c r="C58" s="17"/>
      <c r="D58" s="9">
        <v>7.73092546960528</v>
      </c>
      <c r="E58" s="452" t="s">
        <v>237</v>
      </c>
      <c r="F58" s="17"/>
      <c r="G58" s="17"/>
      <c r="H58" s="17"/>
      <c r="I58" s="17"/>
      <c r="J58" s="17"/>
      <c r="K58" s="17"/>
      <c r="L58" s="692"/>
      <c r="M58" s="693"/>
      <c r="N58" s="693"/>
      <c r="O58" s="54" t="s">
        <v>45</v>
      </c>
      <c r="P58" s="581">
        <v>409.44944550132698</v>
      </c>
      <c r="R58" s="54"/>
      <c r="S58" s="581">
        <v>309.018449434964</v>
      </c>
      <c r="T58" s="17"/>
    </row>
    <row r="59" spans="1:20" x14ac:dyDescent="0.2">
      <c r="A59" s="17"/>
      <c r="B59" s="672" t="s">
        <v>318</v>
      </c>
      <c r="C59" s="17"/>
      <c r="D59" s="9">
        <v>3.8080349999999998</v>
      </c>
      <c r="E59" s="452" t="s">
        <v>319</v>
      </c>
      <c r="F59" s="17"/>
      <c r="G59" s="17"/>
      <c r="H59" s="17"/>
      <c r="I59" s="17"/>
      <c r="J59" s="17"/>
      <c r="K59" s="17"/>
      <c r="L59" s="17"/>
      <c r="M59" s="17"/>
      <c r="N59" s="17"/>
      <c r="O59" s="54" t="s">
        <v>289</v>
      </c>
      <c r="P59" s="566">
        <v>0.24579154076956899</v>
      </c>
      <c r="Q59" s="54" t="s">
        <v>290</v>
      </c>
      <c r="R59" s="54"/>
      <c r="S59" s="566">
        <v>0.31966976911199102</v>
      </c>
      <c r="T59" s="17"/>
    </row>
    <row r="60" spans="1:20" x14ac:dyDescent="0.2">
      <c r="A60" s="17"/>
      <c r="B60" s="672" t="s">
        <v>108</v>
      </c>
      <c r="C60" s="9"/>
      <c r="D60" s="562">
        <v>1E-3</v>
      </c>
      <c r="E60" s="673" t="s">
        <v>237</v>
      </c>
      <c r="F60" s="17"/>
      <c r="G60" s="17"/>
      <c r="H60" s="17"/>
      <c r="I60" s="17"/>
      <c r="J60" s="17"/>
      <c r="K60" s="17"/>
      <c r="L60" s="17"/>
      <c r="M60" s="17"/>
      <c r="N60" s="17"/>
      <c r="O60" s="407" t="s">
        <v>291</v>
      </c>
      <c r="P60" s="581">
        <v>10.335412803894901</v>
      </c>
      <c r="Q60" s="54"/>
      <c r="R60" s="54"/>
      <c r="S60" s="581">
        <v>11.7867791184149</v>
      </c>
      <c r="T60" s="17"/>
    </row>
    <row r="61" spans="1:20" ht="15" x14ac:dyDescent="0.25">
      <c r="A61" s="17"/>
      <c r="B61" s="697" t="s">
        <v>165</v>
      </c>
      <c r="C61" s="562"/>
      <c r="D61" s="698">
        <v>1.17361221015776E-3</v>
      </c>
      <c r="E61" s="673" t="s">
        <v>237</v>
      </c>
      <c r="F61" s="17"/>
      <c r="G61" s="17"/>
      <c r="H61" s="17"/>
      <c r="I61" s="17"/>
      <c r="J61" s="17"/>
      <c r="K61" s="17"/>
      <c r="L61" s="17"/>
      <c r="M61" s="17"/>
      <c r="N61" s="17"/>
      <c r="O61" s="54" t="s">
        <v>293</v>
      </c>
      <c r="P61" s="581">
        <v>10.335412803894901</v>
      </c>
      <c r="Q61" s="54"/>
      <c r="R61" s="54"/>
      <c r="S61" s="581">
        <v>11.7867791184149</v>
      </c>
      <c r="T61" s="17"/>
    </row>
    <row r="62" spans="1:20" ht="15" x14ac:dyDescent="0.25">
      <c r="A62" s="17"/>
      <c r="B62" s="672" t="s">
        <v>166</v>
      </c>
      <c r="C62" s="9"/>
      <c r="D62" s="683" t="s">
        <v>167</v>
      </c>
      <c r="E62" s="452"/>
      <c r="F62" s="17"/>
      <c r="G62" s="17"/>
      <c r="H62" s="17"/>
      <c r="I62" s="17"/>
      <c r="J62" s="17"/>
      <c r="K62" s="17"/>
      <c r="L62" s="17"/>
      <c r="M62" s="17"/>
      <c r="N62" s="17"/>
      <c r="O62" s="54" t="s">
        <v>294</v>
      </c>
      <c r="P62" s="581">
        <v>10.335412803894901</v>
      </c>
      <c r="Q62" s="54"/>
      <c r="R62" s="54"/>
      <c r="S62" s="581">
        <v>11.7867791184149</v>
      </c>
      <c r="T62" s="17"/>
    </row>
    <row r="63" spans="1:20" ht="15" x14ac:dyDescent="0.25">
      <c r="A63" s="17"/>
      <c r="B63" s="697" t="s">
        <v>322</v>
      </c>
      <c r="C63" s="562"/>
      <c r="D63" s="698">
        <v>1.08123201156763E-2</v>
      </c>
      <c r="E63" s="673" t="s">
        <v>319</v>
      </c>
      <c r="F63" s="17"/>
      <c r="G63" s="17"/>
      <c r="H63" s="17"/>
      <c r="I63" s="17"/>
      <c r="J63" s="17"/>
      <c r="K63" s="17"/>
      <c r="L63" s="17"/>
      <c r="M63" s="17"/>
      <c r="N63" s="17"/>
      <c r="O63" s="54" t="s">
        <v>295</v>
      </c>
      <c r="P63" s="581" t="s">
        <v>46</v>
      </c>
      <c r="Q63" s="54"/>
      <c r="R63" s="54"/>
      <c r="S63" s="581" t="s">
        <v>46</v>
      </c>
      <c r="T63" s="17"/>
    </row>
    <row r="64" spans="1:20" x14ac:dyDescent="0.2">
      <c r="A64" s="17"/>
      <c r="B64" s="678" t="s">
        <v>323</v>
      </c>
      <c r="C64" s="17"/>
      <c r="D64" s="562">
        <v>11.0633959632324</v>
      </c>
      <c r="E64" s="452" t="s">
        <v>324</v>
      </c>
      <c r="F64" s="17"/>
      <c r="G64" s="17"/>
      <c r="H64" s="17"/>
      <c r="I64" s="17"/>
      <c r="J64" s="17"/>
      <c r="K64" s="17"/>
      <c r="L64" s="17"/>
      <c r="M64" s="17"/>
      <c r="N64" s="17"/>
      <c r="O64" s="54" t="s">
        <v>297</v>
      </c>
      <c r="P64" s="581" t="s">
        <v>46</v>
      </c>
      <c r="Q64" s="54"/>
      <c r="R64" s="407"/>
      <c r="S64" s="581" t="s">
        <v>46</v>
      </c>
      <c r="T64" s="17"/>
    </row>
    <row r="65" spans="1:20" ht="15" x14ac:dyDescent="0.25">
      <c r="A65" s="17"/>
      <c r="B65" s="699" t="s">
        <v>325</v>
      </c>
      <c r="C65" s="430"/>
      <c r="D65" s="700">
        <v>2.3691719842021302</v>
      </c>
      <c r="E65" s="677" t="s">
        <v>326</v>
      </c>
      <c r="F65" s="9"/>
      <c r="G65" s="17"/>
      <c r="H65" s="17"/>
      <c r="I65" s="17"/>
      <c r="J65" s="17"/>
      <c r="K65" s="17"/>
      <c r="L65" s="17"/>
      <c r="M65" s="17"/>
      <c r="N65" s="17"/>
      <c r="O65" s="54" t="s">
        <v>300</v>
      </c>
      <c r="P65" s="581" t="s">
        <v>46</v>
      </c>
      <c r="Q65" s="407"/>
      <c r="R65" s="54"/>
      <c r="S65" s="581" t="s">
        <v>46</v>
      </c>
      <c r="T65" s="17"/>
    </row>
    <row r="66" spans="1:20" x14ac:dyDescent="0.2">
      <c r="A66" s="17"/>
      <c r="B66" s="17"/>
      <c r="C66" s="17"/>
      <c r="D66" s="17"/>
      <c r="E66" s="17"/>
      <c r="F66" s="54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</row>
    <row r="67" spans="1:20" x14ac:dyDescent="0.2">
      <c r="A67" s="688" t="s">
        <v>349</v>
      </c>
      <c r="B67" s="689"/>
      <c r="C67" s="713">
        <v>0</v>
      </c>
      <c r="D67" s="686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</row>
    <row r="68" spans="1:20" ht="15" x14ac:dyDescent="0.25">
      <c r="A68" s="672" t="s">
        <v>343</v>
      </c>
      <c r="B68" s="9"/>
      <c r="C68" s="102">
        <v>3</v>
      </c>
      <c r="D68" s="673" t="s">
        <v>344</v>
      </c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</row>
    <row r="69" spans="1:20" ht="15" x14ac:dyDescent="0.25">
      <c r="A69" s="417" t="s">
        <v>345</v>
      </c>
      <c r="B69" s="675"/>
      <c r="C69" s="702">
        <v>50.228061543209797</v>
      </c>
      <c r="D69" s="677" t="s">
        <v>344</v>
      </c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</row>
    <row r="70" spans="1:20" x14ac:dyDescent="0.2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</row>
    <row r="71" spans="1:20" x14ac:dyDescent="0.2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</row>
    <row r="72" spans="1:20" x14ac:dyDescent="0.2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</row>
    <row r="73" spans="1:20" x14ac:dyDescent="0.2">
      <c r="A73" s="688" t="s">
        <v>340</v>
      </c>
      <c r="B73" s="689"/>
      <c r="C73" s="689"/>
      <c r="D73" s="690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</row>
    <row r="74" spans="1:20" ht="15" x14ac:dyDescent="0.25">
      <c r="A74" s="672" t="s">
        <v>331</v>
      </c>
      <c r="B74" s="9"/>
      <c r="C74" s="102" t="s">
        <v>13</v>
      </c>
      <c r="D74" s="673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</row>
    <row r="75" spans="1:20" ht="15" x14ac:dyDescent="0.25">
      <c r="A75" s="672" t="s">
        <v>332</v>
      </c>
      <c r="B75" s="9"/>
      <c r="C75" s="102">
        <v>0</v>
      </c>
      <c r="D75" s="673" t="s">
        <v>237</v>
      </c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</row>
    <row r="76" spans="1:20" x14ac:dyDescent="0.2">
      <c r="A76" s="672" t="s">
        <v>341</v>
      </c>
      <c r="B76" s="9" t="s">
        <v>240</v>
      </c>
      <c r="C76" s="9">
        <v>0</v>
      </c>
      <c r="D76" s="673" t="s">
        <v>237</v>
      </c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</row>
    <row r="77" spans="1:20" x14ac:dyDescent="0.2">
      <c r="A77" s="672"/>
      <c r="B77" s="9" t="s">
        <v>342</v>
      </c>
      <c r="C77" s="9">
        <v>0</v>
      </c>
      <c r="D77" s="452" t="s">
        <v>237</v>
      </c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</row>
    <row r="78" spans="1:20" ht="15" x14ac:dyDescent="0.25">
      <c r="A78" s="672" t="s">
        <v>171</v>
      </c>
      <c r="B78" s="9"/>
      <c r="C78" s="102">
        <v>66.279905438596799</v>
      </c>
      <c r="D78" s="673" t="s">
        <v>237</v>
      </c>
      <c r="E78" s="17">
        <v>26.094450960077499</v>
      </c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</row>
    <row r="79" spans="1:20" ht="15" x14ac:dyDescent="0.25">
      <c r="A79" s="672" t="s">
        <v>172</v>
      </c>
      <c r="B79" s="17"/>
      <c r="C79" s="701">
        <v>13.281072167594701</v>
      </c>
      <c r="D79" s="673" t="s">
        <v>237</v>
      </c>
      <c r="E79" s="17">
        <v>5.2287685699191897</v>
      </c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</row>
    <row r="80" spans="1:20" ht="15" x14ac:dyDescent="0.25">
      <c r="A80" s="417" t="s">
        <v>173</v>
      </c>
      <c r="B80" s="675"/>
      <c r="C80" s="702">
        <v>79.5609776061915</v>
      </c>
      <c r="D80" s="469" t="s">
        <v>237</v>
      </c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</row>
    <row r="81" spans="1:20" x14ac:dyDescent="0.2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</row>
    <row r="82" spans="1:20" x14ac:dyDescent="0.2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9"/>
      <c r="Q82" s="17"/>
      <c r="R82" s="17"/>
      <c r="S82" s="17"/>
      <c r="T82" s="17"/>
    </row>
    <row r="83" spans="1:20" x14ac:dyDescent="0.2">
      <c r="A83" s="714" t="s">
        <v>125</v>
      </c>
      <c r="B83" s="689"/>
      <c r="C83" s="689"/>
      <c r="D83" s="690">
        <v>0</v>
      </c>
    </row>
    <row r="86" spans="1:20" ht="14.25" x14ac:dyDescent="0.2">
      <c r="B86" s="110" t="s">
        <v>17</v>
      </c>
      <c r="C86" s="287"/>
      <c r="D86" s="287"/>
      <c r="E86" s="287"/>
      <c r="F86" s="528"/>
    </row>
    <row r="87" spans="1:20" x14ac:dyDescent="0.2">
      <c r="B87" s="299" t="s">
        <v>19</v>
      </c>
      <c r="C87" s="140"/>
      <c r="D87" s="119"/>
      <c r="E87" s="17"/>
      <c r="F87" s="494"/>
    </row>
    <row r="88" spans="1:20" ht="15" x14ac:dyDescent="0.25">
      <c r="B88" s="120" t="s">
        <v>21</v>
      </c>
      <c r="C88" s="117"/>
      <c r="D88" s="119"/>
      <c r="E88" s="17"/>
      <c r="F88" s="704" t="s">
        <v>22</v>
      </c>
    </row>
    <row r="89" spans="1:20" ht="15" x14ac:dyDescent="0.25">
      <c r="B89" s="120" t="s">
        <v>24</v>
      </c>
      <c r="C89" s="117"/>
      <c r="D89" s="119"/>
      <c r="E89" s="17"/>
      <c r="F89" s="704" t="s">
        <v>22</v>
      </c>
    </row>
    <row r="90" spans="1:20" ht="15" x14ac:dyDescent="0.25">
      <c r="B90" s="120" t="s">
        <v>26</v>
      </c>
      <c r="C90" s="117"/>
      <c r="D90" s="119"/>
      <c r="E90" s="17"/>
      <c r="F90" s="704" t="s">
        <v>22</v>
      </c>
    </row>
    <row r="91" spans="1:20" ht="15" x14ac:dyDescent="0.25">
      <c r="B91" s="120" t="s">
        <v>29</v>
      </c>
      <c r="C91" s="117"/>
      <c r="D91" s="119"/>
      <c r="E91" s="17"/>
      <c r="F91" s="704" t="s">
        <v>22</v>
      </c>
    </row>
    <row r="92" spans="1:20" ht="15" x14ac:dyDescent="0.25">
      <c r="B92" s="120" t="s">
        <v>31</v>
      </c>
      <c r="C92" s="117"/>
      <c r="D92" s="119"/>
      <c r="E92" s="17"/>
      <c r="F92" s="704" t="s">
        <v>22</v>
      </c>
    </row>
    <row r="93" spans="1:20" ht="15" x14ac:dyDescent="0.25">
      <c r="B93" s="120" t="s">
        <v>32</v>
      </c>
      <c r="C93" s="117"/>
      <c r="D93" s="119"/>
      <c r="E93" s="17"/>
      <c r="F93" s="704" t="s">
        <v>22</v>
      </c>
    </row>
    <row r="94" spans="1:20" ht="15" x14ac:dyDescent="0.25">
      <c r="B94" s="120" t="s">
        <v>35</v>
      </c>
      <c r="C94" s="117"/>
      <c r="D94" s="119"/>
      <c r="E94" s="17"/>
      <c r="F94" s="704" t="s">
        <v>22</v>
      </c>
    </row>
    <row r="95" spans="1:20" ht="15" x14ac:dyDescent="0.25">
      <c r="B95" s="120" t="s">
        <v>37</v>
      </c>
      <c r="C95" s="117"/>
      <c r="D95" s="119"/>
      <c r="E95" s="17"/>
      <c r="F95" s="704" t="s">
        <v>22</v>
      </c>
    </row>
    <row r="96" spans="1:20" ht="15" x14ac:dyDescent="0.25">
      <c r="B96" s="120" t="s">
        <v>39</v>
      </c>
      <c r="C96" s="117"/>
      <c r="D96" s="119"/>
      <c r="E96" s="17"/>
      <c r="F96" s="704" t="s">
        <v>22</v>
      </c>
    </row>
    <row r="97" spans="1:11" ht="15" x14ac:dyDescent="0.25">
      <c r="B97" s="120" t="s">
        <v>43</v>
      </c>
      <c r="C97" s="117"/>
      <c r="D97" s="119"/>
      <c r="E97" s="17"/>
      <c r="F97" s="704" t="s">
        <v>22</v>
      </c>
    </row>
    <row r="98" spans="1:11" ht="15" x14ac:dyDescent="0.25">
      <c r="B98" s="120" t="s">
        <v>45</v>
      </c>
      <c r="C98" s="117"/>
      <c r="D98" s="300"/>
      <c r="E98" s="17"/>
      <c r="F98" s="704"/>
    </row>
    <row r="99" spans="1:11" ht="15" x14ac:dyDescent="0.25">
      <c r="B99" s="145" t="s">
        <v>51</v>
      </c>
      <c r="C99" s="146"/>
      <c r="D99" s="715"/>
      <c r="E99" s="17"/>
      <c r="F99" s="706" t="s">
        <v>347</v>
      </c>
    </row>
    <row r="102" spans="1:11" x14ac:dyDescent="0.2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</row>
    <row r="103" spans="1:11" ht="14.25" x14ac:dyDescent="0.2">
      <c r="A103" s="17"/>
      <c r="B103" s="285" t="s">
        <v>140</v>
      </c>
      <c r="C103" s="286"/>
      <c r="D103" s="286"/>
      <c r="E103" s="716"/>
      <c r="F103" s="112"/>
      <c r="G103" s="17"/>
      <c r="H103" s="17"/>
      <c r="I103" s="17"/>
      <c r="J103" s="17"/>
      <c r="K103" s="17"/>
    </row>
    <row r="104" spans="1:11" x14ac:dyDescent="0.2">
      <c r="A104" s="17"/>
      <c r="B104" s="17" t="s">
        <v>121</v>
      </c>
      <c r="C104" s="17"/>
      <c r="D104" s="17"/>
      <c r="E104" s="17"/>
      <c r="F104" s="17"/>
      <c r="G104" s="17"/>
      <c r="H104" s="17"/>
      <c r="I104" s="17"/>
      <c r="J104" s="17"/>
      <c r="K104" s="17"/>
    </row>
    <row r="105" spans="1:11" ht="15" x14ac:dyDescent="0.25">
      <c r="A105" s="17"/>
      <c r="B105" s="299" t="s">
        <v>141</v>
      </c>
      <c r="C105" s="140"/>
      <c r="D105" s="140"/>
      <c r="E105" s="17"/>
      <c r="F105" s="717" t="s">
        <v>22</v>
      </c>
      <c r="G105" s="17"/>
      <c r="H105" s="17"/>
      <c r="I105" s="17"/>
      <c r="J105" s="17"/>
      <c r="K105" s="17"/>
    </row>
    <row r="106" spans="1:11" ht="15" x14ac:dyDescent="0.25">
      <c r="A106" s="17"/>
      <c r="B106" s="299" t="s">
        <v>142</v>
      </c>
      <c r="C106" s="140"/>
      <c r="D106" s="117"/>
      <c r="E106" s="17"/>
      <c r="F106" s="704" t="s">
        <v>46</v>
      </c>
      <c r="G106" s="17"/>
      <c r="H106" s="17"/>
      <c r="I106" s="17"/>
      <c r="J106" s="17"/>
      <c r="K106" s="17"/>
    </row>
    <row r="107" spans="1:11" ht="15" x14ac:dyDescent="0.25">
      <c r="A107" s="17"/>
      <c r="B107" s="299" t="s">
        <v>143</v>
      </c>
      <c r="C107" s="140"/>
      <c r="D107" s="117"/>
      <c r="E107" s="17"/>
      <c r="F107" s="704" t="s">
        <v>27</v>
      </c>
      <c r="G107" s="17"/>
      <c r="H107" s="17"/>
      <c r="I107" s="17"/>
      <c r="J107" s="17"/>
      <c r="K107" s="17"/>
    </row>
    <row r="108" spans="1:11" ht="15" x14ac:dyDescent="0.25">
      <c r="A108" s="17"/>
      <c r="B108" s="299" t="s">
        <v>144</v>
      </c>
      <c r="C108" s="140"/>
      <c r="D108" s="117"/>
      <c r="E108" s="17"/>
      <c r="F108" s="704" t="s">
        <v>46</v>
      </c>
      <c r="G108" s="17"/>
      <c r="H108" s="17"/>
      <c r="I108" s="17"/>
      <c r="J108" s="17"/>
      <c r="K108" s="17"/>
    </row>
    <row r="109" spans="1:11" ht="15" x14ac:dyDescent="0.25">
      <c r="A109" s="17"/>
      <c r="B109" s="299" t="s">
        <v>145</v>
      </c>
      <c r="C109" s="140"/>
      <c r="D109" s="117"/>
      <c r="E109" s="17"/>
      <c r="F109" s="704" t="s">
        <v>27</v>
      </c>
      <c r="G109" s="17"/>
      <c r="H109" s="299" t="s">
        <v>151</v>
      </c>
      <c r="I109" s="17"/>
      <c r="J109" s="17">
        <v>77.013374152819395</v>
      </c>
      <c r="K109" s="17"/>
    </row>
    <row r="110" spans="1:11" ht="15" x14ac:dyDescent="0.25">
      <c r="A110" s="17"/>
      <c r="B110" s="299" t="s">
        <v>146</v>
      </c>
      <c r="C110" s="140"/>
      <c r="D110" s="117"/>
      <c r="E110" s="17"/>
      <c r="F110" s="704" t="s">
        <v>73</v>
      </c>
      <c r="G110" s="17"/>
      <c r="H110" s="299" t="s">
        <v>152</v>
      </c>
      <c r="I110" s="17"/>
      <c r="J110" s="17">
        <v>0</v>
      </c>
      <c r="K110" s="17"/>
    </row>
    <row r="111" spans="1:11" ht="15" x14ac:dyDescent="0.25">
      <c r="A111" s="17"/>
      <c r="B111" s="299" t="s">
        <v>147</v>
      </c>
      <c r="C111" s="140"/>
      <c r="D111" s="140"/>
      <c r="E111" s="17"/>
      <c r="F111" s="704" t="s">
        <v>148</v>
      </c>
      <c r="G111" s="17"/>
      <c r="H111" s="17"/>
      <c r="I111" s="17"/>
      <c r="J111" s="17"/>
      <c r="K111" s="17"/>
    </row>
    <row r="112" spans="1:11" ht="15" x14ac:dyDescent="0.25">
      <c r="A112" s="17"/>
      <c r="B112" s="299" t="s">
        <v>149</v>
      </c>
      <c r="C112" s="140"/>
      <c r="D112" s="140"/>
      <c r="E112" s="17"/>
      <c r="F112" s="704" t="s">
        <v>150</v>
      </c>
      <c r="G112" s="17"/>
      <c r="H112" s="17"/>
      <c r="I112" s="17"/>
      <c r="J112" s="17"/>
      <c r="K112" s="17"/>
    </row>
    <row r="113" spans="1:11" ht="15" x14ac:dyDescent="0.25">
      <c r="A113" s="17"/>
      <c r="B113" s="299" t="s">
        <v>151</v>
      </c>
      <c r="C113" s="140"/>
      <c r="D113" s="140"/>
      <c r="E113" s="17"/>
      <c r="F113" s="704" t="s">
        <v>48</v>
      </c>
      <c r="G113" s="17"/>
      <c r="H113" s="17"/>
      <c r="I113" s="17"/>
      <c r="J113" s="17"/>
      <c r="K113" s="17"/>
    </row>
    <row r="114" spans="1:11" ht="15" x14ac:dyDescent="0.25">
      <c r="A114" s="17"/>
      <c r="B114" s="299" t="s">
        <v>152</v>
      </c>
      <c r="C114" s="140"/>
      <c r="D114" s="140"/>
      <c r="E114" s="17"/>
      <c r="F114" s="704" t="s">
        <v>48</v>
      </c>
      <c r="G114" s="17"/>
      <c r="H114" s="17"/>
      <c r="I114" s="17"/>
      <c r="J114" s="17"/>
      <c r="K114" s="17"/>
    </row>
    <row r="115" spans="1:11" ht="15" x14ac:dyDescent="0.25">
      <c r="A115" s="17"/>
      <c r="B115" s="299" t="s">
        <v>153</v>
      </c>
      <c r="C115" s="140"/>
      <c r="D115" s="140"/>
      <c r="E115" s="17"/>
      <c r="F115" s="704" t="s">
        <v>48</v>
      </c>
      <c r="G115" s="17"/>
      <c r="H115" s="17"/>
      <c r="I115" s="17"/>
      <c r="J115" s="17"/>
      <c r="K115" s="17"/>
    </row>
    <row r="116" spans="1:11" ht="15" x14ac:dyDescent="0.25">
      <c r="A116" s="17"/>
      <c r="B116" s="306" t="s">
        <v>154</v>
      </c>
      <c r="C116" s="710"/>
      <c r="D116" s="117"/>
      <c r="E116" s="17"/>
      <c r="F116" s="704" t="s">
        <v>155</v>
      </c>
      <c r="G116" s="17"/>
      <c r="H116" s="17"/>
      <c r="I116" s="17"/>
      <c r="J116" s="17"/>
      <c r="K116" s="17"/>
    </row>
    <row r="117" spans="1:11" ht="15" x14ac:dyDescent="0.25">
      <c r="A117" s="17"/>
      <c r="B117" s="306" t="s">
        <v>156</v>
      </c>
      <c r="C117" s="710"/>
      <c r="D117" s="117"/>
      <c r="E117" s="17"/>
      <c r="F117" s="704" t="s">
        <v>157</v>
      </c>
      <c r="G117" s="17"/>
      <c r="H117" s="17"/>
      <c r="I117" s="17"/>
      <c r="J117" s="17"/>
      <c r="K117" s="17"/>
    </row>
    <row r="118" spans="1:11" ht="15" x14ac:dyDescent="0.25">
      <c r="A118" s="17"/>
      <c r="B118" s="299" t="s">
        <v>158</v>
      </c>
      <c r="C118" s="140"/>
      <c r="D118" s="117"/>
      <c r="E118" s="17"/>
      <c r="F118" s="704"/>
      <c r="G118" s="17"/>
      <c r="H118" s="17"/>
      <c r="I118" s="17"/>
      <c r="J118" s="17"/>
      <c r="K118" s="17"/>
    </row>
    <row r="119" spans="1:11" ht="15" x14ac:dyDescent="0.25">
      <c r="A119" s="17"/>
      <c r="B119" s="308" t="s">
        <v>159</v>
      </c>
      <c r="C119" s="711"/>
      <c r="D119" s="146"/>
      <c r="E119" s="17"/>
      <c r="F119" s="706" t="s">
        <v>160</v>
      </c>
      <c r="G119" s="17"/>
      <c r="H119" s="17"/>
      <c r="I119" s="17"/>
      <c r="J119" s="17"/>
      <c r="K119" s="17"/>
    </row>
    <row r="120" spans="1:11" x14ac:dyDescent="0.2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</row>
    <row r="121" spans="1:11" x14ac:dyDescent="0.2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</row>
    <row r="122" spans="1:11" x14ac:dyDescent="0.2">
      <c r="A122" s="9"/>
      <c r="B122" s="9"/>
      <c r="C122" s="9"/>
      <c r="D122" s="9"/>
      <c r="E122" s="9"/>
      <c r="F122" s="9"/>
    </row>
    <row r="123" spans="1:11" x14ac:dyDescent="0.2">
      <c r="A123" s="9" t="s">
        <v>315</v>
      </c>
      <c r="B123" s="9"/>
      <c r="C123" s="9"/>
      <c r="D123" s="9"/>
      <c r="E123" s="9"/>
      <c r="F123" s="9"/>
    </row>
    <row r="124" spans="1:11" x14ac:dyDescent="0.2">
      <c r="A124" s="659" t="s">
        <v>112</v>
      </c>
      <c r="B124" s="659" t="s">
        <v>113</v>
      </c>
      <c r="C124" s="659" t="s">
        <v>316</v>
      </c>
      <c r="D124" s="659" t="s">
        <v>348</v>
      </c>
      <c r="E124" s="9"/>
      <c r="F124" s="9"/>
    </row>
    <row r="125" spans="1:11" x14ac:dyDescent="0.2">
      <c r="A125" s="281">
        <v>1</v>
      </c>
      <c r="B125" s="679" t="s">
        <v>320</v>
      </c>
      <c r="C125" s="281">
        <v>6</v>
      </c>
      <c r="D125" s="281">
        <v>20.16</v>
      </c>
      <c r="E125" s="659">
        <v>70.907586206896596</v>
      </c>
      <c r="F125" s="9"/>
    </row>
    <row r="126" spans="1:11" x14ac:dyDescent="0.2">
      <c r="A126" s="281">
        <v>2</v>
      </c>
      <c r="B126" s="659" t="s">
        <v>321</v>
      </c>
      <c r="C126" s="281">
        <v>4</v>
      </c>
      <c r="D126" s="281">
        <v>17.64</v>
      </c>
      <c r="E126" s="659">
        <v>41.362758620689704</v>
      </c>
      <c r="F126" s="9"/>
    </row>
    <row r="127" spans="1:11" x14ac:dyDescent="0.2">
      <c r="A127" s="281">
        <v>3</v>
      </c>
      <c r="B127" s="679" t="s">
        <v>117</v>
      </c>
      <c r="C127" s="281">
        <v>150</v>
      </c>
      <c r="D127" s="281">
        <v>36.119999999999997</v>
      </c>
      <c r="E127" s="659">
        <v>3176.06896551724</v>
      </c>
      <c r="F127" s="9"/>
    </row>
    <row r="128" spans="1:11" x14ac:dyDescent="0.2">
      <c r="A128" s="281">
        <v>4</v>
      </c>
      <c r="B128" s="679" t="s">
        <v>118</v>
      </c>
      <c r="C128" s="281">
        <v>35</v>
      </c>
      <c r="D128" s="281">
        <v>21.84</v>
      </c>
      <c r="E128" s="659">
        <v>448.09655172413801</v>
      </c>
      <c r="F128" s="9"/>
    </row>
    <row r="129" spans="1:6" x14ac:dyDescent="0.2">
      <c r="A129" s="281">
        <v>5</v>
      </c>
      <c r="B129" s="679" t="s">
        <v>120</v>
      </c>
      <c r="C129" s="281">
        <v>5</v>
      </c>
      <c r="D129" s="281">
        <v>13.44</v>
      </c>
      <c r="E129" s="659">
        <v>39.393103448275902</v>
      </c>
      <c r="F129" s="9"/>
    </row>
    <row r="130" spans="1:6" x14ac:dyDescent="0.2">
      <c r="A130" s="281">
        <v>6</v>
      </c>
      <c r="B130" s="679" t="s">
        <v>122</v>
      </c>
      <c r="C130" s="281">
        <v>0</v>
      </c>
      <c r="D130" s="281">
        <v>13.44</v>
      </c>
      <c r="E130" s="659">
        <v>0</v>
      </c>
      <c r="F130" s="9"/>
    </row>
    <row r="131" spans="1:6" x14ac:dyDescent="0.2">
      <c r="A131" s="281">
        <v>7</v>
      </c>
      <c r="B131" s="679" t="s">
        <v>327</v>
      </c>
      <c r="C131" s="281">
        <v>3</v>
      </c>
      <c r="D131" s="281">
        <v>11.76</v>
      </c>
      <c r="E131" s="659">
        <v>20.681379310344798</v>
      </c>
      <c r="F131" s="17"/>
    </row>
    <row r="132" spans="1:6" x14ac:dyDescent="0.2">
      <c r="A132" s="281">
        <v>8</v>
      </c>
      <c r="B132" s="679" t="s">
        <v>328</v>
      </c>
      <c r="C132" s="281">
        <v>0</v>
      </c>
      <c r="D132" s="281">
        <v>11.76</v>
      </c>
      <c r="E132" s="659">
        <v>0</v>
      </c>
      <c r="F132" s="17"/>
    </row>
    <row r="133" spans="1:6" x14ac:dyDescent="0.2">
      <c r="A133" s="9"/>
      <c r="B133" s="9"/>
      <c r="C133" s="9">
        <v>203</v>
      </c>
      <c r="D133" s="9"/>
      <c r="E133" s="9">
        <v>3796.51034482759</v>
      </c>
      <c r="F133" s="17"/>
    </row>
    <row r="134" spans="1:6" x14ac:dyDescent="0.2">
      <c r="A134" s="17"/>
      <c r="B134" s="17"/>
      <c r="C134" s="17"/>
      <c r="D134" s="17"/>
      <c r="E134" s="17"/>
      <c r="F134" s="17"/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135"/>
  <sheetViews>
    <sheetView zoomScaleNormal="100" workbookViewId="0"/>
  </sheetViews>
  <sheetFormatPr defaultColWidth="11.5703125" defaultRowHeight="12.75" customHeight="1" x14ac:dyDescent="0.2"/>
  <sheetData>
    <row r="1" spans="1:49" ht="15" x14ac:dyDescent="0.25">
      <c r="A1" s="17"/>
      <c r="B1" s="645" t="s">
        <v>242</v>
      </c>
      <c r="C1" s="646">
        <v>18.4663805318344</v>
      </c>
      <c r="D1" s="17"/>
      <c r="E1" s="17"/>
      <c r="F1" s="17"/>
      <c r="G1" s="17"/>
      <c r="H1" s="17"/>
      <c r="I1" s="17"/>
      <c r="J1" s="17"/>
      <c r="K1" s="17"/>
      <c r="L1" s="17"/>
      <c r="M1" s="17"/>
      <c r="N1" s="9"/>
      <c r="O1" s="647"/>
      <c r="P1" s="9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</row>
    <row r="2" spans="1:49" x14ac:dyDescent="0.2">
      <c r="A2" s="17"/>
      <c r="B2" s="417" t="s">
        <v>243</v>
      </c>
      <c r="C2" s="646">
        <v>9.6728659928656509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>
        <v>0</v>
      </c>
      <c r="AL2" s="17"/>
      <c r="AM2" s="17" t="s">
        <v>201</v>
      </c>
      <c r="AN2" s="17" t="s">
        <v>202</v>
      </c>
      <c r="AO2" s="17" t="s">
        <v>206</v>
      </c>
      <c r="AP2" s="17" t="s">
        <v>207</v>
      </c>
      <c r="AQ2" s="17" t="s">
        <v>208</v>
      </c>
      <c r="AR2" s="17" t="s">
        <v>209</v>
      </c>
      <c r="AS2" s="17" t="s">
        <v>210</v>
      </c>
      <c r="AT2" s="17" t="s">
        <v>211</v>
      </c>
      <c r="AU2" s="17" t="s">
        <v>212</v>
      </c>
      <c r="AV2" s="17"/>
      <c r="AW2" s="17"/>
    </row>
    <row r="3" spans="1:49" x14ac:dyDescent="0.2">
      <c r="A3" s="17"/>
      <c r="B3" s="17"/>
      <c r="C3" s="17"/>
      <c r="D3" s="17"/>
      <c r="E3" s="17" t="s">
        <v>239</v>
      </c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>
        <v>0</v>
      </c>
      <c r="AK3" s="17">
        <v>0</v>
      </c>
      <c r="AL3" s="17">
        <v>0</v>
      </c>
      <c r="AM3" s="9">
        <v>332.375759799619</v>
      </c>
      <c r="AN3" s="17">
        <v>0</v>
      </c>
      <c r="AO3" s="400">
        <v>200</v>
      </c>
      <c r="AP3" s="17">
        <v>0</v>
      </c>
      <c r="AQ3" s="17">
        <v>200</v>
      </c>
      <c r="AR3" s="17">
        <v>1</v>
      </c>
      <c r="AS3" s="17">
        <v>0</v>
      </c>
      <c r="AT3" s="17">
        <v>0</v>
      </c>
      <c r="AU3" s="17">
        <v>0</v>
      </c>
      <c r="AV3" s="17"/>
      <c r="AW3" s="17">
        <v>207.460529876046</v>
      </c>
    </row>
    <row r="4" spans="1:49" ht="15" x14ac:dyDescent="0.25">
      <c r="A4" s="265"/>
      <c r="B4" s="648"/>
      <c r="C4" s="265"/>
      <c r="D4" s="649" t="s">
        <v>337</v>
      </c>
      <c r="E4" s="650">
        <v>1E-3</v>
      </c>
      <c r="F4" s="650">
        <v>5</v>
      </c>
      <c r="G4" s="651">
        <v>6</v>
      </c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>
        <v>9.7016097031992404E-2</v>
      </c>
      <c r="AK4" s="66">
        <v>1</v>
      </c>
      <c r="AL4" s="102">
        <v>0</v>
      </c>
      <c r="AM4" s="9">
        <v>0</v>
      </c>
      <c r="AN4" s="9">
        <v>0</v>
      </c>
      <c r="AO4" s="17">
        <v>0</v>
      </c>
      <c r="AP4" s="17">
        <v>0</v>
      </c>
      <c r="AQ4" s="17">
        <v>0</v>
      </c>
      <c r="AR4" s="17">
        <v>0</v>
      </c>
      <c r="AS4" s="17">
        <v>0</v>
      </c>
      <c r="AT4" s="17">
        <v>0</v>
      </c>
      <c r="AU4" s="17">
        <v>0</v>
      </c>
      <c r="AV4" s="17"/>
      <c r="AW4" s="17"/>
    </row>
    <row r="5" spans="1:49" ht="15" x14ac:dyDescent="0.25">
      <c r="A5" s="265"/>
      <c r="B5" s="648"/>
      <c r="C5" s="265"/>
      <c r="D5" s="648"/>
      <c r="E5" s="9"/>
      <c r="F5" s="9"/>
      <c r="G5" s="9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>
        <v>0.18003133393410201</v>
      </c>
      <c r="AK5" s="17">
        <v>2</v>
      </c>
      <c r="AL5" s="102">
        <v>0</v>
      </c>
      <c r="AM5" s="9">
        <v>0</v>
      </c>
      <c r="AN5" s="9">
        <v>0</v>
      </c>
      <c r="AO5" s="17">
        <v>0</v>
      </c>
      <c r="AP5" s="17">
        <v>0</v>
      </c>
      <c r="AQ5" s="17">
        <v>0</v>
      </c>
      <c r="AR5" s="17">
        <v>0</v>
      </c>
      <c r="AS5" s="17">
        <v>0</v>
      </c>
      <c r="AT5" s="17">
        <v>0</v>
      </c>
      <c r="AU5" s="17">
        <v>0</v>
      </c>
      <c r="AV5" s="17"/>
      <c r="AW5" s="17"/>
    </row>
    <row r="6" spans="1:49" ht="15" x14ac:dyDescent="0.25">
      <c r="A6" s="9"/>
      <c r="B6" s="9"/>
      <c r="C6" s="101" t="s">
        <v>34</v>
      </c>
      <c r="D6" s="102" t="s">
        <v>12</v>
      </c>
      <c r="E6" s="102"/>
      <c r="F6" s="652"/>
      <c r="G6" s="652"/>
      <c r="H6" s="9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>
        <v>0.38267450096057598</v>
      </c>
      <c r="AK6" s="17">
        <v>5</v>
      </c>
      <c r="AL6" s="102">
        <v>0</v>
      </c>
      <c r="AM6" s="9">
        <v>0</v>
      </c>
      <c r="AN6" s="9">
        <v>0</v>
      </c>
      <c r="AO6" s="17">
        <v>0</v>
      </c>
      <c r="AP6" s="17">
        <v>0</v>
      </c>
      <c r="AQ6" s="17">
        <v>0</v>
      </c>
      <c r="AR6" s="17">
        <v>0</v>
      </c>
      <c r="AS6" s="17">
        <v>0</v>
      </c>
      <c r="AT6" s="17">
        <v>0</v>
      </c>
      <c r="AU6" s="17">
        <v>0</v>
      </c>
      <c r="AV6" s="17">
        <v>0</v>
      </c>
      <c r="AW6" s="17"/>
    </row>
    <row r="7" spans="1:49" ht="15" x14ac:dyDescent="0.25">
      <c r="A7" s="9"/>
      <c r="B7" s="9"/>
      <c r="C7" s="17"/>
      <c r="D7" s="17"/>
      <c r="E7" s="17"/>
      <c r="F7" s="407"/>
      <c r="G7" s="9"/>
      <c r="H7" s="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>
        <v>0.64218571044560002</v>
      </c>
      <c r="AK7" s="17">
        <v>10</v>
      </c>
      <c r="AL7" s="102">
        <v>0</v>
      </c>
      <c r="AM7" s="9">
        <v>0</v>
      </c>
      <c r="AN7" s="9">
        <v>0</v>
      </c>
      <c r="AO7" s="17">
        <v>0</v>
      </c>
      <c r="AP7" s="17">
        <v>0</v>
      </c>
      <c r="AQ7" s="17">
        <v>0</v>
      </c>
      <c r="AR7" s="17">
        <v>0</v>
      </c>
      <c r="AS7" s="17">
        <v>0</v>
      </c>
      <c r="AT7" s="17">
        <v>0</v>
      </c>
      <c r="AU7" s="17">
        <v>0</v>
      </c>
      <c r="AV7" s="17"/>
      <c r="AW7" s="17"/>
    </row>
    <row r="8" spans="1:49" ht="15" x14ac:dyDescent="0.25">
      <c r="A8" s="9"/>
      <c r="B8" s="9" t="s">
        <v>21</v>
      </c>
      <c r="C8" s="9"/>
      <c r="D8" s="9">
        <v>7581.6</v>
      </c>
      <c r="E8" s="9" t="s">
        <v>253</v>
      </c>
      <c r="F8" s="9"/>
      <c r="G8" s="9"/>
      <c r="H8" s="9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>
        <v>1.0335457969383099</v>
      </c>
      <c r="AK8" s="17">
        <v>20</v>
      </c>
      <c r="AL8" s="102">
        <v>0</v>
      </c>
      <c r="AM8" s="9">
        <v>0</v>
      </c>
      <c r="AN8" s="9">
        <v>0</v>
      </c>
      <c r="AO8" s="17">
        <v>0</v>
      </c>
      <c r="AP8" s="17">
        <v>0</v>
      </c>
      <c r="AQ8" s="17">
        <v>0</v>
      </c>
      <c r="AR8" s="17">
        <v>0</v>
      </c>
      <c r="AS8" s="17">
        <v>0</v>
      </c>
      <c r="AT8" s="17">
        <v>0</v>
      </c>
      <c r="AU8" s="17">
        <v>0</v>
      </c>
      <c r="AV8" s="17"/>
      <c r="AW8" s="17"/>
    </row>
    <row r="9" spans="1:49" ht="15" x14ac:dyDescent="0.25">
      <c r="A9" s="17"/>
      <c r="B9" s="9" t="s">
        <v>256</v>
      </c>
      <c r="C9" s="9"/>
      <c r="D9" s="9">
        <v>9.8410576351752805</v>
      </c>
      <c r="E9" s="9" t="s">
        <v>257</v>
      </c>
      <c r="F9" s="9">
        <v>21.383038812232702</v>
      </c>
      <c r="G9" s="9" t="s">
        <v>258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>
        <v>1.34296371395599</v>
      </c>
      <c r="AK9" s="17">
        <v>30</v>
      </c>
      <c r="AL9" s="102">
        <v>0</v>
      </c>
      <c r="AM9" s="9">
        <v>0</v>
      </c>
      <c r="AN9" s="9">
        <v>0</v>
      </c>
      <c r="AO9" s="17">
        <v>0</v>
      </c>
      <c r="AP9" s="17">
        <v>0</v>
      </c>
      <c r="AQ9" s="17">
        <v>0</v>
      </c>
      <c r="AR9" s="17">
        <v>0</v>
      </c>
      <c r="AS9" s="17">
        <v>0</v>
      </c>
      <c r="AT9" s="17">
        <v>0</v>
      </c>
      <c r="AU9" s="17">
        <v>0</v>
      </c>
      <c r="AV9" s="17"/>
      <c r="AW9" s="17"/>
    </row>
    <row r="10" spans="1:49" ht="15" x14ac:dyDescent="0.25">
      <c r="A10" s="17"/>
      <c r="B10" s="9" t="s">
        <v>259</v>
      </c>
      <c r="C10" s="9"/>
      <c r="D10" s="9">
        <v>1542.5646804176199</v>
      </c>
      <c r="E10" s="9" t="s">
        <v>260</v>
      </c>
      <c r="F10" s="9">
        <v>5.9232794493719396</v>
      </c>
      <c r="G10" s="9" t="s">
        <v>261</v>
      </c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>
        <v>1.4794832390102799</v>
      </c>
      <c r="AK10" s="17">
        <v>35</v>
      </c>
      <c r="AL10" s="102">
        <v>0</v>
      </c>
      <c r="AM10" s="9">
        <v>0</v>
      </c>
      <c r="AN10" s="9">
        <v>0</v>
      </c>
      <c r="AO10" s="17">
        <v>0</v>
      </c>
      <c r="AP10" s="17">
        <v>0</v>
      </c>
      <c r="AQ10" s="17">
        <v>0</v>
      </c>
      <c r="AR10" s="17">
        <v>0</v>
      </c>
      <c r="AS10" s="17">
        <v>0</v>
      </c>
      <c r="AT10" s="17">
        <v>0</v>
      </c>
      <c r="AU10" s="17">
        <v>0</v>
      </c>
      <c r="AV10" s="17"/>
      <c r="AW10" s="17"/>
    </row>
    <row r="11" spans="1:49" ht="15" x14ac:dyDescent="0.25">
      <c r="A11" s="17"/>
      <c r="B11" s="9" t="s">
        <v>262</v>
      </c>
      <c r="C11" s="9"/>
      <c r="D11" s="9">
        <v>383.18485691902703</v>
      </c>
      <c r="E11" s="9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>
        <v>1.72739500052752</v>
      </c>
      <c r="AK11" s="17">
        <v>45</v>
      </c>
      <c r="AL11" s="102">
        <v>0</v>
      </c>
      <c r="AM11" s="9">
        <v>0</v>
      </c>
      <c r="AN11" s="9">
        <v>0</v>
      </c>
      <c r="AO11" s="17">
        <v>0</v>
      </c>
      <c r="AP11" s="17">
        <v>0</v>
      </c>
      <c r="AQ11" s="17">
        <v>0</v>
      </c>
      <c r="AR11" s="17">
        <v>0</v>
      </c>
      <c r="AS11" s="17">
        <v>0</v>
      </c>
      <c r="AT11" s="17">
        <v>0</v>
      </c>
      <c r="AU11" s="17">
        <v>0</v>
      </c>
      <c r="AV11" s="17"/>
      <c r="AW11" s="17"/>
    </row>
    <row r="12" spans="1:49" ht="15" x14ac:dyDescent="0.25">
      <c r="A12" s="17"/>
      <c r="B12" s="9" t="s">
        <v>265</v>
      </c>
      <c r="C12" s="9"/>
      <c r="D12" s="9"/>
      <c r="E12" s="9" t="s">
        <v>266</v>
      </c>
      <c r="F12" s="9">
        <v>25.245019348136399</v>
      </c>
      <c r="G12" s="9" t="s">
        <v>258</v>
      </c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>
        <v>1.9502001970206899</v>
      </c>
      <c r="AK12" s="17">
        <v>55</v>
      </c>
      <c r="AL12" s="102">
        <v>0</v>
      </c>
      <c r="AM12" s="9">
        <v>0</v>
      </c>
      <c r="AN12" s="9">
        <v>0</v>
      </c>
      <c r="AO12" s="17">
        <v>0</v>
      </c>
      <c r="AP12" s="17">
        <v>0</v>
      </c>
      <c r="AQ12" s="17">
        <v>0</v>
      </c>
      <c r="AR12" s="17">
        <v>0</v>
      </c>
      <c r="AS12" s="17">
        <v>0</v>
      </c>
      <c r="AT12" s="17">
        <v>0</v>
      </c>
      <c r="AU12" s="17">
        <v>0</v>
      </c>
      <c r="AV12" s="17"/>
      <c r="AW12" s="17"/>
    </row>
    <row r="13" spans="1:49" ht="15" x14ac:dyDescent="0.25">
      <c r="A13" s="17"/>
      <c r="B13" s="9" t="s">
        <v>75</v>
      </c>
      <c r="C13" s="9"/>
      <c r="D13" s="9">
        <v>26.6490995419108</v>
      </c>
      <c r="E13" s="9" t="s">
        <v>266</v>
      </c>
      <c r="F13" s="9">
        <v>64.961064172849504</v>
      </c>
      <c r="G13" s="9" t="s">
        <v>261</v>
      </c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>
        <v>2.1542644166111899</v>
      </c>
      <c r="AK13" s="17">
        <v>65</v>
      </c>
      <c r="AL13" s="102">
        <v>0</v>
      </c>
      <c r="AM13" s="9">
        <v>0</v>
      </c>
      <c r="AN13" s="9">
        <v>0</v>
      </c>
      <c r="AO13" s="17">
        <v>0</v>
      </c>
      <c r="AP13" s="17">
        <v>0</v>
      </c>
      <c r="AQ13" s="17">
        <v>0</v>
      </c>
      <c r="AR13" s="17">
        <v>0</v>
      </c>
      <c r="AS13" s="17">
        <v>0</v>
      </c>
      <c r="AT13" s="17">
        <v>0</v>
      </c>
      <c r="AU13" s="17">
        <v>0</v>
      </c>
      <c r="AV13" s="17"/>
      <c r="AW13" s="17"/>
    </row>
    <row r="14" spans="1:49" ht="15" x14ac:dyDescent="0.25">
      <c r="A14" s="9"/>
      <c r="B14" s="653" t="s">
        <v>264</v>
      </c>
      <c r="C14" s="654">
        <v>3506.6420260172199</v>
      </c>
      <c r="D14" s="654" t="s">
        <v>269</v>
      </c>
      <c r="E14" s="655" t="s">
        <v>270</v>
      </c>
      <c r="F14" s="654">
        <v>0</v>
      </c>
      <c r="G14" s="655" t="s">
        <v>271</v>
      </c>
      <c r="H14" s="656">
        <v>3.0176614712230502E-3</v>
      </c>
      <c r="I14" s="655" t="s">
        <v>272</v>
      </c>
      <c r="J14" s="657">
        <v>43.236721860126401</v>
      </c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>
        <v>2.3436462883388902</v>
      </c>
      <c r="AK14" s="17">
        <v>75</v>
      </c>
      <c r="AL14" s="102">
        <v>0</v>
      </c>
      <c r="AM14" s="9">
        <v>0</v>
      </c>
      <c r="AN14" s="9">
        <v>0</v>
      </c>
      <c r="AO14" s="17">
        <v>0</v>
      </c>
      <c r="AP14" s="17">
        <v>0</v>
      </c>
      <c r="AQ14" s="17">
        <v>0</v>
      </c>
      <c r="AR14" s="17">
        <v>0</v>
      </c>
      <c r="AS14" s="17">
        <v>0</v>
      </c>
      <c r="AT14" s="17">
        <v>0</v>
      </c>
      <c r="AU14" s="17">
        <v>0</v>
      </c>
      <c r="AV14" s="17"/>
      <c r="AW14" s="17"/>
    </row>
    <row r="15" spans="1:49" ht="15" x14ac:dyDescent="0.25">
      <c r="A15" s="9"/>
      <c r="B15" s="658" t="s">
        <v>264</v>
      </c>
      <c r="C15" s="654">
        <v>3506.6420260172199</v>
      </c>
      <c r="D15" s="654" t="s">
        <v>269</v>
      </c>
      <c r="E15" s="659" t="s">
        <v>270</v>
      </c>
      <c r="F15" s="654">
        <v>0</v>
      </c>
      <c r="G15" s="659" t="s">
        <v>271</v>
      </c>
      <c r="H15" s="656">
        <v>2.1770823684916802E-3</v>
      </c>
      <c r="I15" s="659" t="s">
        <v>272</v>
      </c>
      <c r="J15" s="657">
        <v>0.262862333192252</v>
      </c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>
        <v>2.5211217974943101</v>
      </c>
      <c r="AK15" s="17">
        <v>85</v>
      </c>
      <c r="AL15" s="102">
        <v>0</v>
      </c>
      <c r="AM15" s="9">
        <v>0</v>
      </c>
      <c r="AN15" s="9">
        <v>0</v>
      </c>
      <c r="AO15" s="17">
        <v>0</v>
      </c>
      <c r="AP15" s="17">
        <v>0</v>
      </c>
      <c r="AQ15" s="17">
        <v>0</v>
      </c>
      <c r="AR15" s="17">
        <v>0</v>
      </c>
      <c r="AS15" s="17">
        <v>0</v>
      </c>
      <c r="AT15" s="17">
        <v>0</v>
      </c>
      <c r="AU15" s="17">
        <v>0</v>
      </c>
      <c r="AV15" s="17"/>
      <c r="AW15" s="17"/>
    </row>
    <row r="16" spans="1:49" ht="15" x14ac:dyDescent="0.25">
      <c r="A16" s="9"/>
      <c r="B16" s="658" t="s">
        <v>264</v>
      </c>
      <c r="C16" s="654">
        <v>3506.6420260172199</v>
      </c>
      <c r="D16" s="654" t="s">
        <v>269</v>
      </c>
      <c r="E16" s="659" t="s">
        <v>270</v>
      </c>
      <c r="F16" s="654">
        <v>0</v>
      </c>
      <c r="G16" s="659" t="s">
        <v>271</v>
      </c>
      <c r="H16" s="656">
        <v>2.1770823684916802E-3</v>
      </c>
      <c r="I16" s="659" t="s">
        <v>272</v>
      </c>
      <c r="J16" s="657">
        <v>15.9469815469966</v>
      </c>
      <c r="K16" s="17"/>
      <c r="L16" s="9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>
        <v>2.6886888767577899</v>
      </c>
      <c r="AK16" s="17">
        <v>95</v>
      </c>
      <c r="AL16" s="102">
        <v>0</v>
      </c>
      <c r="AM16" s="9">
        <v>0</v>
      </c>
      <c r="AN16" s="9">
        <v>0</v>
      </c>
      <c r="AO16" s="17">
        <v>0</v>
      </c>
      <c r="AP16" s="17">
        <v>0</v>
      </c>
      <c r="AQ16" s="17">
        <v>0</v>
      </c>
      <c r="AR16" s="17">
        <v>0</v>
      </c>
      <c r="AS16" s="17">
        <v>0</v>
      </c>
      <c r="AT16" s="17">
        <v>0</v>
      </c>
      <c r="AU16" s="17">
        <v>0</v>
      </c>
      <c r="AV16" s="17"/>
      <c r="AW16" s="17"/>
    </row>
    <row r="17" spans="1:49" ht="15" x14ac:dyDescent="0.25">
      <c r="A17" s="9"/>
      <c r="B17" s="658" t="s">
        <v>264</v>
      </c>
      <c r="C17" s="654">
        <v>3506.6420260172199</v>
      </c>
      <c r="D17" s="654" t="s">
        <v>269</v>
      </c>
      <c r="E17" s="659" t="s">
        <v>270</v>
      </c>
      <c r="F17" s="654">
        <v>0</v>
      </c>
      <c r="G17" s="659" t="s">
        <v>271</v>
      </c>
      <c r="H17" s="656">
        <v>2.0064389328674601E-3</v>
      </c>
      <c r="I17" s="659" t="s">
        <v>272</v>
      </c>
      <c r="J17" s="657">
        <v>8.0752911470642105E-2</v>
      </c>
      <c r="K17" s="17"/>
      <c r="L17" s="9"/>
      <c r="M17" s="17"/>
      <c r="N17" s="9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>
        <v>2.8478422761653599</v>
      </c>
      <c r="AK17" s="17">
        <v>105</v>
      </c>
      <c r="AL17" s="102">
        <v>0</v>
      </c>
      <c r="AM17" s="9">
        <v>0</v>
      </c>
      <c r="AN17" s="9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17">
        <v>0</v>
      </c>
      <c r="AV17" s="17"/>
      <c r="AW17" s="17"/>
    </row>
    <row r="18" spans="1:49" ht="15" x14ac:dyDescent="0.25">
      <c r="A18" s="9"/>
      <c r="B18" s="658" t="s">
        <v>264</v>
      </c>
      <c r="C18" s="654">
        <v>3506.6420260172199</v>
      </c>
      <c r="D18" s="654" t="s">
        <v>269</v>
      </c>
      <c r="E18" s="659" t="s">
        <v>270</v>
      </c>
      <c r="F18" s="654">
        <v>0</v>
      </c>
      <c r="G18" s="659" t="s">
        <v>271</v>
      </c>
      <c r="H18" s="656">
        <v>2.0064389328674601E-3</v>
      </c>
      <c r="I18" s="659" t="s">
        <v>272</v>
      </c>
      <c r="J18" s="657">
        <v>5.9757154488275104</v>
      </c>
      <c r="K18" s="17"/>
      <c r="L18" s="17"/>
      <c r="M18" s="17"/>
      <c r="N18" s="9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>
        <v>2.9997349116946501</v>
      </c>
      <c r="AK18" s="17">
        <v>115</v>
      </c>
      <c r="AL18" s="102">
        <v>0</v>
      </c>
      <c r="AM18" s="9">
        <v>0</v>
      </c>
      <c r="AN18" s="9">
        <v>0</v>
      </c>
      <c r="AO18" s="17">
        <v>0</v>
      </c>
      <c r="AP18" s="17">
        <v>0</v>
      </c>
      <c r="AQ18" s="17">
        <v>0</v>
      </c>
      <c r="AR18" s="17">
        <v>0</v>
      </c>
      <c r="AS18" s="17">
        <v>0</v>
      </c>
      <c r="AT18" s="17">
        <v>0</v>
      </c>
      <c r="AU18" s="17">
        <v>0</v>
      </c>
      <c r="AV18" s="17"/>
      <c r="AW18" s="17"/>
    </row>
    <row r="19" spans="1:49" ht="15" x14ac:dyDescent="0.25">
      <c r="A19" s="9"/>
      <c r="B19" s="658" t="s">
        <v>264</v>
      </c>
      <c r="C19" s="654">
        <v>3506.6420260172199</v>
      </c>
      <c r="D19" s="654" t="s">
        <v>269</v>
      </c>
      <c r="E19" s="659" t="s">
        <v>270</v>
      </c>
      <c r="F19" s="654">
        <v>0</v>
      </c>
      <c r="G19" s="659" t="s">
        <v>271</v>
      </c>
      <c r="H19" s="656">
        <v>2.0064389328674601E-3</v>
      </c>
      <c r="I19" s="659" t="s">
        <v>272</v>
      </c>
      <c r="J19" s="657">
        <v>8.0752911470642105E-2</v>
      </c>
      <c r="K19" s="17"/>
      <c r="L19" s="17"/>
      <c r="M19" s="17"/>
      <c r="N19" s="9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>
        <v>3.1452782240156498</v>
      </c>
      <c r="AK19" s="17">
        <v>125</v>
      </c>
      <c r="AL19" s="102">
        <v>0</v>
      </c>
      <c r="AM19" s="9">
        <v>0</v>
      </c>
      <c r="AN19" s="9">
        <v>0</v>
      </c>
      <c r="AO19" s="17">
        <v>0</v>
      </c>
      <c r="AP19" s="17">
        <v>0</v>
      </c>
      <c r="AQ19" s="17">
        <v>0</v>
      </c>
      <c r="AR19" s="17">
        <v>0</v>
      </c>
      <c r="AS19" s="17">
        <v>0</v>
      </c>
      <c r="AT19" s="17">
        <v>0</v>
      </c>
      <c r="AU19" s="17">
        <v>0</v>
      </c>
      <c r="AV19" s="17"/>
      <c r="AW19" s="17"/>
    </row>
    <row r="20" spans="1:49" ht="15" x14ac:dyDescent="0.25">
      <c r="A20" s="9"/>
      <c r="B20" s="658" t="s">
        <v>264</v>
      </c>
      <c r="C20" s="654">
        <v>3506.6420260172199</v>
      </c>
      <c r="D20" s="654" t="s">
        <v>269</v>
      </c>
      <c r="E20" s="659" t="s">
        <v>270</v>
      </c>
      <c r="F20" s="654">
        <v>0</v>
      </c>
      <c r="G20" s="659" t="s">
        <v>271</v>
      </c>
      <c r="H20" s="656">
        <v>2.0064389328674601E-3</v>
      </c>
      <c r="I20" s="659" t="s">
        <v>272</v>
      </c>
      <c r="J20" s="657">
        <v>8.0752911470642105E-2</v>
      </c>
      <c r="K20" s="9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>
        <v>3.2852075604746802</v>
      </c>
      <c r="AK20" s="17">
        <v>135</v>
      </c>
      <c r="AL20" s="102">
        <v>0</v>
      </c>
      <c r="AM20" s="9">
        <v>0</v>
      </c>
      <c r="AN20" s="9">
        <v>0</v>
      </c>
      <c r="AO20" s="17">
        <v>0</v>
      </c>
      <c r="AP20" s="17">
        <v>0</v>
      </c>
      <c r="AQ20" s="17">
        <v>0</v>
      </c>
      <c r="AR20" s="17">
        <v>0</v>
      </c>
      <c r="AS20" s="17">
        <v>0</v>
      </c>
      <c r="AT20" s="17">
        <v>0</v>
      </c>
      <c r="AU20" s="17">
        <v>0</v>
      </c>
      <c r="AV20" s="17"/>
      <c r="AW20" s="17"/>
    </row>
    <row r="21" spans="1:49" ht="15" x14ac:dyDescent="0.25">
      <c r="A21" s="9"/>
      <c r="B21" s="658" t="s">
        <v>264</v>
      </c>
      <c r="C21" s="654">
        <v>3506.6420260172199</v>
      </c>
      <c r="D21" s="654" t="s">
        <v>269</v>
      </c>
      <c r="E21" s="659" t="s">
        <v>270</v>
      </c>
      <c r="F21" s="654">
        <v>0</v>
      </c>
      <c r="G21" s="659" t="s">
        <v>271</v>
      </c>
      <c r="H21" s="656">
        <v>2.0064389328674601E-3</v>
      </c>
      <c r="I21" s="659" t="s">
        <v>272</v>
      </c>
      <c r="J21" s="657">
        <v>8.0752911470642105E-2</v>
      </c>
      <c r="K21" s="9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>
        <v>3.4201264170832602</v>
      </c>
      <c r="AK21" s="17">
        <v>145</v>
      </c>
      <c r="AL21" s="102">
        <v>0</v>
      </c>
      <c r="AM21" s="9">
        <v>0</v>
      </c>
      <c r="AN21" s="9">
        <v>0</v>
      </c>
      <c r="AO21" s="17">
        <v>0</v>
      </c>
      <c r="AP21" s="17">
        <v>0</v>
      </c>
      <c r="AQ21" s="17">
        <v>0</v>
      </c>
      <c r="AR21" s="17">
        <v>0</v>
      </c>
      <c r="AS21" s="17">
        <v>0</v>
      </c>
      <c r="AT21" s="17">
        <v>0</v>
      </c>
      <c r="AU21" s="17">
        <v>0</v>
      </c>
      <c r="AV21" s="17"/>
      <c r="AW21" s="17"/>
    </row>
    <row r="22" spans="1:49" ht="15" x14ac:dyDescent="0.25">
      <c r="A22" s="9"/>
      <c r="B22" s="658" t="s">
        <v>264</v>
      </c>
      <c r="C22" s="654">
        <v>3506.6420260172199</v>
      </c>
      <c r="D22" s="654" t="s">
        <v>269</v>
      </c>
      <c r="E22" s="659" t="s">
        <v>270</v>
      </c>
      <c r="F22" s="654">
        <v>0</v>
      </c>
      <c r="G22" s="659" t="s">
        <v>271</v>
      </c>
      <c r="H22" s="656">
        <v>2.0064389328674601E-3</v>
      </c>
      <c r="I22" s="659" t="s">
        <v>272</v>
      </c>
      <c r="J22" s="657">
        <v>8.0752911470642105E-2</v>
      </c>
      <c r="K22" s="9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>
        <v>3.55053733896965</v>
      </c>
      <c r="AK22" s="17">
        <v>155</v>
      </c>
      <c r="AL22" s="102">
        <v>0</v>
      </c>
      <c r="AM22" s="9">
        <v>0</v>
      </c>
      <c r="AN22" s="9">
        <v>0</v>
      </c>
      <c r="AO22" s="17">
        <v>0</v>
      </c>
      <c r="AP22" s="17">
        <v>0</v>
      </c>
      <c r="AQ22" s="17">
        <v>0</v>
      </c>
      <c r="AR22" s="17">
        <v>0</v>
      </c>
      <c r="AS22" s="17">
        <v>0</v>
      </c>
      <c r="AT22" s="17">
        <v>0</v>
      </c>
      <c r="AU22" s="17">
        <v>0</v>
      </c>
      <c r="AV22" s="17"/>
      <c r="AW22" s="17"/>
    </row>
    <row r="23" spans="1:49" ht="15" x14ac:dyDescent="0.25">
      <c r="A23" s="9"/>
      <c r="B23" s="658" t="s">
        <v>264</v>
      </c>
      <c r="C23" s="654">
        <v>3506.6420260172199</v>
      </c>
      <c r="D23" s="654" t="s">
        <v>269</v>
      </c>
      <c r="E23" s="659" t="s">
        <v>270</v>
      </c>
      <c r="F23" s="654">
        <v>0</v>
      </c>
      <c r="G23" s="659" t="s">
        <v>271</v>
      </c>
      <c r="H23" s="656">
        <v>2.1770823684916802E-3</v>
      </c>
      <c r="I23" s="659" t="s">
        <v>272</v>
      </c>
      <c r="J23" s="657">
        <v>7.7106284403060696</v>
      </c>
      <c r="K23" s="9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>
        <v>3.6768640900243001</v>
      </c>
      <c r="AK23" s="17">
        <v>165</v>
      </c>
      <c r="AL23" s="102">
        <v>0</v>
      </c>
      <c r="AM23" s="9">
        <v>0</v>
      </c>
      <c r="AN23" s="9">
        <v>0</v>
      </c>
      <c r="AO23" s="17">
        <v>0</v>
      </c>
      <c r="AP23" s="17">
        <v>0</v>
      </c>
      <c r="AQ23" s="17">
        <v>0</v>
      </c>
      <c r="AR23" s="17">
        <v>0</v>
      </c>
      <c r="AS23" s="17">
        <v>0</v>
      </c>
      <c r="AT23" s="17">
        <v>0</v>
      </c>
      <c r="AU23" s="17">
        <v>0</v>
      </c>
      <c r="AV23" s="17"/>
      <c r="AW23" s="17"/>
    </row>
    <row r="24" spans="1:49" ht="15" x14ac:dyDescent="0.25">
      <c r="A24" s="9"/>
      <c r="B24" s="658" t="s">
        <v>264</v>
      </c>
      <c r="C24" s="654">
        <v>3506.6420260172199</v>
      </c>
      <c r="D24" s="654" t="s">
        <v>269</v>
      </c>
      <c r="E24" s="659" t="s">
        <v>270</v>
      </c>
      <c r="F24" s="654">
        <v>0</v>
      </c>
      <c r="G24" s="659" t="s">
        <v>271</v>
      </c>
      <c r="H24" s="656">
        <v>2.0064389328674601E-3</v>
      </c>
      <c r="I24" s="659" t="s">
        <v>272</v>
      </c>
      <c r="J24" s="657">
        <v>0.242258734411926</v>
      </c>
      <c r="K24" s="9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>
        <v>3.7994679298897198</v>
      </c>
      <c r="AK24" s="17">
        <v>175</v>
      </c>
      <c r="AL24" s="102">
        <v>0</v>
      </c>
      <c r="AM24" s="9">
        <v>0</v>
      </c>
      <c r="AN24" s="9">
        <v>0</v>
      </c>
      <c r="AO24" s="17">
        <v>0</v>
      </c>
      <c r="AP24" s="17">
        <v>0</v>
      </c>
      <c r="AQ24" s="17">
        <v>0</v>
      </c>
      <c r="AR24" s="17">
        <v>0</v>
      </c>
      <c r="AS24" s="17">
        <v>0</v>
      </c>
      <c r="AT24" s="17">
        <v>0</v>
      </c>
      <c r="AU24" s="17">
        <v>0</v>
      </c>
      <c r="AV24" s="17"/>
      <c r="AW24" s="17"/>
    </row>
    <row r="25" spans="1:49" ht="15" x14ac:dyDescent="0.25">
      <c r="A25" s="9"/>
      <c r="B25" s="658"/>
      <c r="C25" s="654"/>
      <c r="D25" s="659"/>
      <c r="E25" s="659" t="s">
        <v>282</v>
      </c>
      <c r="F25" s="654">
        <v>0</v>
      </c>
      <c r="G25" s="659"/>
      <c r="H25" s="660"/>
      <c r="I25" s="659" t="s">
        <v>282</v>
      </c>
      <c r="J25" s="661">
        <v>73.778932921213993</v>
      </c>
      <c r="K25" s="9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>
        <v>3.9186598065432601</v>
      </c>
      <c r="AK25" s="17">
        <v>185</v>
      </c>
      <c r="AL25" s="102">
        <v>0</v>
      </c>
      <c r="AM25" s="9">
        <v>0</v>
      </c>
      <c r="AN25" s="9">
        <v>0</v>
      </c>
      <c r="AO25" s="17">
        <v>0</v>
      </c>
      <c r="AP25" s="17">
        <v>0</v>
      </c>
      <c r="AQ25" s="17">
        <v>0</v>
      </c>
      <c r="AR25" s="17">
        <v>0</v>
      </c>
      <c r="AS25" s="17">
        <v>0</v>
      </c>
      <c r="AT25" s="17">
        <v>0</v>
      </c>
      <c r="AU25" s="17">
        <v>0</v>
      </c>
      <c r="AV25" s="17"/>
      <c r="AW25" s="17"/>
    </row>
    <row r="26" spans="1:49" ht="15" x14ac:dyDescent="0.25">
      <c r="A26" s="9" t="s">
        <v>261</v>
      </c>
      <c r="B26" s="658" t="s">
        <v>264</v>
      </c>
      <c r="C26" s="654">
        <v>1984.0211462992199</v>
      </c>
      <c r="D26" s="662" t="s">
        <v>278</v>
      </c>
      <c r="E26" s="659" t="s">
        <v>270</v>
      </c>
      <c r="F26" s="654">
        <v>49.120741006599502</v>
      </c>
      <c r="G26" s="659" t="s">
        <v>271</v>
      </c>
      <c r="H26" s="663">
        <v>0</v>
      </c>
      <c r="I26" s="659" t="s">
        <v>284</v>
      </c>
      <c r="J26" s="664">
        <v>0</v>
      </c>
      <c r="K26" s="9"/>
      <c r="L26" s="9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>
        <v>4.0347096513846701</v>
      </c>
      <c r="AK26" s="17">
        <v>195</v>
      </c>
      <c r="AL26" s="102">
        <v>0</v>
      </c>
      <c r="AM26" s="9">
        <v>0</v>
      </c>
      <c r="AN26" s="9">
        <v>0</v>
      </c>
      <c r="AO26" s="17">
        <v>0</v>
      </c>
      <c r="AP26" s="17">
        <v>0</v>
      </c>
      <c r="AQ26" s="17">
        <v>0</v>
      </c>
      <c r="AR26" s="17">
        <v>0</v>
      </c>
      <c r="AS26" s="17">
        <v>0</v>
      </c>
      <c r="AT26" s="17">
        <v>0</v>
      </c>
      <c r="AU26" s="17">
        <v>0</v>
      </c>
      <c r="AV26" s="17"/>
      <c r="AW26" s="17"/>
    </row>
    <row r="27" spans="1:49" ht="15" x14ac:dyDescent="0.25">
      <c r="A27" s="9" t="s">
        <v>286</v>
      </c>
      <c r="B27" s="665" t="s">
        <v>264</v>
      </c>
      <c r="C27" s="654">
        <v>883.68891602243696</v>
      </c>
      <c r="D27" s="666" t="s">
        <v>278</v>
      </c>
      <c r="E27" s="667" t="s">
        <v>270</v>
      </c>
      <c r="F27" s="654">
        <v>209.47608587180599</v>
      </c>
      <c r="G27" s="667" t="s">
        <v>271</v>
      </c>
      <c r="H27" s="666">
        <v>0</v>
      </c>
      <c r="I27" s="667" t="s">
        <v>284</v>
      </c>
      <c r="J27" s="668">
        <v>0</v>
      </c>
      <c r="K27" s="9"/>
      <c r="L27" s="9"/>
      <c r="M27" s="9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>
        <v>4.1478535764525999</v>
      </c>
      <c r="AK27" s="17">
        <v>205</v>
      </c>
      <c r="AL27" s="102">
        <v>0</v>
      </c>
      <c r="AM27" s="9">
        <v>0</v>
      </c>
      <c r="AN27" s="9">
        <v>0</v>
      </c>
      <c r="AO27" s="17">
        <v>0</v>
      </c>
      <c r="AP27" s="17">
        <v>0</v>
      </c>
      <c r="AQ27" s="17">
        <v>0</v>
      </c>
      <c r="AR27" s="17">
        <v>0</v>
      </c>
      <c r="AS27" s="17">
        <v>0</v>
      </c>
      <c r="AT27" s="17">
        <v>0</v>
      </c>
      <c r="AU27" s="17">
        <v>0</v>
      </c>
      <c r="AV27" s="17"/>
      <c r="AW27" s="17"/>
    </row>
    <row r="28" spans="1:49" ht="15" x14ac:dyDescent="0.25">
      <c r="A28" s="9"/>
      <c r="B28" s="9"/>
      <c r="C28" s="9"/>
      <c r="D28" s="9"/>
      <c r="E28" s="9"/>
      <c r="F28" s="9">
        <v>258.59682687840501</v>
      </c>
      <c r="G28" s="9"/>
      <c r="H28" s="9"/>
      <c r="I28" s="9"/>
      <c r="J28" s="9">
        <v>73.778932921213993</v>
      </c>
      <c r="K28" s="17"/>
      <c r="L28" s="17"/>
      <c r="M28" s="9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>
        <v>4.2582995249889297</v>
      </c>
      <c r="AK28" s="17">
        <v>215</v>
      </c>
      <c r="AL28" s="102">
        <v>0</v>
      </c>
      <c r="AM28" s="9">
        <v>0</v>
      </c>
      <c r="AN28" s="9">
        <v>0</v>
      </c>
      <c r="AO28" s="17">
        <v>0</v>
      </c>
      <c r="AP28" s="17">
        <v>0</v>
      </c>
      <c r="AQ28" s="17">
        <v>0</v>
      </c>
      <c r="AR28" s="17">
        <v>0</v>
      </c>
      <c r="AS28" s="17">
        <v>0</v>
      </c>
      <c r="AT28" s="17">
        <v>0</v>
      </c>
      <c r="AU28" s="17">
        <v>0</v>
      </c>
      <c r="AV28" s="17"/>
      <c r="AW28" s="17"/>
    </row>
    <row r="29" spans="1:49" ht="15" x14ac:dyDescent="0.25">
      <c r="A29" s="9" t="s">
        <v>288</v>
      </c>
      <c r="B29" s="9"/>
      <c r="C29" s="9"/>
      <c r="D29" s="9">
        <v>7913.9757597996204</v>
      </c>
      <c r="E29" s="9"/>
      <c r="F29" s="17"/>
      <c r="G29" s="17"/>
      <c r="H29" s="17"/>
      <c r="I29" s="9"/>
      <c r="J29" s="669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>
        <v>4.3662317631652696</v>
      </c>
      <c r="AK29" s="17">
        <v>225</v>
      </c>
      <c r="AL29" s="102">
        <v>0</v>
      </c>
      <c r="AM29" s="9">
        <v>0</v>
      </c>
      <c r="AN29" s="9">
        <v>0</v>
      </c>
      <c r="AO29" s="17">
        <v>0</v>
      </c>
      <c r="AP29" s="17">
        <v>0</v>
      </c>
      <c r="AQ29" s="17">
        <v>0</v>
      </c>
      <c r="AR29" s="17">
        <v>0</v>
      </c>
      <c r="AS29" s="17">
        <v>0</v>
      </c>
      <c r="AT29" s="17">
        <v>0</v>
      </c>
      <c r="AU29" s="17">
        <v>0</v>
      </c>
      <c r="AV29" s="17"/>
      <c r="AW29" s="17"/>
    </row>
    <row r="30" spans="1:49" ht="15" x14ac:dyDescent="0.25">
      <c r="A30" s="102" t="s">
        <v>123</v>
      </c>
      <c r="B30" s="102"/>
      <c r="C30" s="102"/>
      <c r="D30" s="17"/>
      <c r="E30" s="9"/>
      <c r="F30" s="9" t="s">
        <v>292</v>
      </c>
      <c r="G30" s="9"/>
      <c r="H30" s="9">
        <v>332.375759799619</v>
      </c>
      <c r="I30" s="9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>
        <v>4.6765049469897297</v>
      </c>
      <c r="AK30" s="17">
        <v>255</v>
      </c>
      <c r="AL30" s="102">
        <v>0</v>
      </c>
      <c r="AM30" s="9">
        <v>0</v>
      </c>
      <c r="AN30" s="9">
        <v>0</v>
      </c>
      <c r="AO30" s="17">
        <v>0</v>
      </c>
      <c r="AP30" s="17">
        <v>0</v>
      </c>
      <c r="AQ30" s="17">
        <v>0</v>
      </c>
      <c r="AR30" s="17">
        <v>0</v>
      </c>
      <c r="AS30" s="17">
        <v>0</v>
      </c>
      <c r="AT30" s="17">
        <v>0</v>
      </c>
      <c r="AU30" s="17">
        <v>0</v>
      </c>
      <c r="AV30" s="17"/>
      <c r="AW30" s="17"/>
    </row>
    <row r="31" spans="1:49" ht="15" x14ac:dyDescent="0.25">
      <c r="A31" s="17"/>
      <c r="B31" s="9" t="s">
        <v>296</v>
      </c>
      <c r="C31" s="9"/>
      <c r="D31" s="9"/>
      <c r="E31" s="9"/>
      <c r="F31" s="9"/>
      <c r="G31" s="9"/>
      <c r="H31" s="9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>
        <v>4.9691566552364597</v>
      </c>
      <c r="AK31" s="17">
        <v>285</v>
      </c>
      <c r="AL31" s="102">
        <v>0</v>
      </c>
      <c r="AM31" s="9">
        <v>0</v>
      </c>
      <c r="AN31" s="9">
        <v>0</v>
      </c>
      <c r="AO31" s="17">
        <v>0</v>
      </c>
      <c r="AP31" s="17">
        <v>0</v>
      </c>
      <c r="AQ31" s="17">
        <v>0</v>
      </c>
      <c r="AR31" s="17">
        <v>0</v>
      </c>
      <c r="AS31" s="17">
        <v>0</v>
      </c>
      <c r="AT31" s="17">
        <v>0</v>
      </c>
      <c r="AU31" s="17">
        <v>0</v>
      </c>
      <c r="AV31" s="17"/>
      <c r="AW31" s="17"/>
    </row>
    <row r="32" spans="1:49" ht="15" x14ac:dyDescent="0.25">
      <c r="A32" s="17"/>
      <c r="B32" s="670" t="s">
        <v>298</v>
      </c>
      <c r="C32" s="646"/>
      <c r="D32" s="646"/>
      <c r="E32" s="671"/>
      <c r="F32" s="670" t="s">
        <v>299</v>
      </c>
      <c r="G32" s="646"/>
      <c r="H32" s="671">
        <v>0</v>
      </c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>
        <v>5.84773290832677</v>
      </c>
      <c r="AK32" s="17">
        <v>385</v>
      </c>
      <c r="AL32" s="102">
        <v>0</v>
      </c>
      <c r="AM32" s="9">
        <v>0</v>
      </c>
      <c r="AN32" s="9">
        <v>0</v>
      </c>
      <c r="AO32" s="17">
        <v>0</v>
      </c>
      <c r="AP32" s="17">
        <v>0</v>
      </c>
      <c r="AQ32" s="17">
        <v>0</v>
      </c>
      <c r="AR32" s="17">
        <v>0</v>
      </c>
      <c r="AS32" s="17">
        <v>0</v>
      </c>
      <c r="AT32" s="17">
        <v>0</v>
      </c>
      <c r="AU32" s="17">
        <v>0</v>
      </c>
      <c r="AV32" s="17"/>
      <c r="AW32" s="17"/>
    </row>
    <row r="33" spans="1:49" ht="15" x14ac:dyDescent="0.25">
      <c r="A33" s="17"/>
      <c r="B33" s="672" t="s">
        <v>301</v>
      </c>
      <c r="C33" s="9"/>
      <c r="D33" s="9" t="s">
        <v>302</v>
      </c>
      <c r="E33" s="673">
        <v>9.6561723127856904</v>
      </c>
      <c r="F33" s="672" t="s">
        <v>301</v>
      </c>
      <c r="G33" s="9" t="s">
        <v>303</v>
      </c>
      <c r="H33" s="673">
        <v>207.460529876046</v>
      </c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>
        <v>6.6184664156297304</v>
      </c>
      <c r="AK33" s="17">
        <v>485</v>
      </c>
      <c r="AL33" s="102">
        <v>0</v>
      </c>
      <c r="AM33" s="9">
        <v>0</v>
      </c>
      <c r="AN33" s="9">
        <v>0</v>
      </c>
      <c r="AO33" s="17">
        <v>0</v>
      </c>
      <c r="AP33" s="17">
        <v>0</v>
      </c>
      <c r="AQ33" s="17">
        <v>0</v>
      </c>
      <c r="AR33" s="17">
        <v>0</v>
      </c>
      <c r="AS33" s="17">
        <v>0</v>
      </c>
      <c r="AT33" s="17">
        <v>0</v>
      </c>
      <c r="AU33" s="17">
        <v>0</v>
      </c>
      <c r="AV33" s="17"/>
      <c r="AW33" s="17"/>
    </row>
    <row r="34" spans="1:49" ht="15" x14ac:dyDescent="0.25">
      <c r="A34" s="17"/>
      <c r="B34" s="672"/>
      <c r="C34" s="9"/>
      <c r="D34" s="9" t="s">
        <v>304</v>
      </c>
      <c r="E34" s="673">
        <v>9.3707636721204306</v>
      </c>
      <c r="F34" s="672"/>
      <c r="G34" s="9" t="s">
        <v>305</v>
      </c>
      <c r="H34" s="673">
        <v>2173.39602727286</v>
      </c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>
        <v>7.31339712500729</v>
      </c>
      <c r="AK34" s="17">
        <v>585</v>
      </c>
      <c r="AL34" s="102">
        <v>0</v>
      </c>
      <c r="AM34" s="9">
        <v>0</v>
      </c>
      <c r="AN34" s="9">
        <v>0</v>
      </c>
      <c r="AO34" s="17">
        <v>0</v>
      </c>
      <c r="AP34" s="17">
        <v>0</v>
      </c>
      <c r="AQ34" s="17">
        <v>0</v>
      </c>
      <c r="AR34" s="17">
        <v>0</v>
      </c>
      <c r="AS34" s="17">
        <v>0</v>
      </c>
      <c r="AT34" s="17">
        <v>0</v>
      </c>
      <c r="AU34" s="17"/>
      <c r="AV34" s="17"/>
      <c r="AW34" s="17"/>
    </row>
    <row r="35" spans="1:49" ht="15" x14ac:dyDescent="0.25">
      <c r="A35" s="17"/>
      <c r="B35" s="672" t="s">
        <v>132</v>
      </c>
      <c r="C35" s="9"/>
      <c r="D35" s="9" t="s">
        <v>218</v>
      </c>
      <c r="E35" s="673">
        <v>14.713923308785199</v>
      </c>
      <c r="F35" s="672"/>
      <c r="G35" s="9" t="s">
        <v>306</v>
      </c>
      <c r="H35" s="674">
        <v>9.5000000000000001E-2</v>
      </c>
      <c r="I35" s="17"/>
      <c r="J35" s="17"/>
      <c r="K35" s="17"/>
      <c r="L35" s="17"/>
      <c r="M35" s="407"/>
      <c r="N35" s="563" t="s">
        <v>248</v>
      </c>
      <c r="O35" s="564" t="s">
        <v>263</v>
      </c>
      <c r="P35" s="565" t="s">
        <v>264</v>
      </c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>
        <v>7.9512779462827803</v>
      </c>
      <c r="AK35" s="17">
        <v>685</v>
      </c>
      <c r="AL35" s="102">
        <v>0</v>
      </c>
      <c r="AM35" s="9">
        <v>0</v>
      </c>
      <c r="AN35" s="9">
        <v>0</v>
      </c>
      <c r="AO35" s="17">
        <v>0</v>
      </c>
      <c r="AP35" s="17">
        <v>0</v>
      </c>
      <c r="AQ35" s="17">
        <v>0</v>
      </c>
      <c r="AR35" s="17">
        <v>0</v>
      </c>
      <c r="AS35" s="17">
        <v>0</v>
      </c>
      <c r="AT35" s="17">
        <v>0</v>
      </c>
      <c r="AU35" s="17"/>
      <c r="AV35" s="17"/>
      <c r="AW35" s="17"/>
    </row>
    <row r="36" spans="1:49" ht="15" x14ac:dyDescent="0.25">
      <c r="A36" s="17"/>
      <c r="B36" s="417"/>
      <c r="C36" s="675"/>
      <c r="D36" s="675"/>
      <c r="E36" s="676"/>
      <c r="F36" s="672" t="s">
        <v>307</v>
      </c>
      <c r="G36" s="17">
        <v>3420</v>
      </c>
      <c r="H36" s="673"/>
      <c r="I36" s="17"/>
      <c r="J36" s="17"/>
      <c r="K36" s="17"/>
      <c r="L36" s="17"/>
      <c r="M36" s="407"/>
      <c r="N36" s="567">
        <v>4.4999999999999998E-2</v>
      </c>
      <c r="O36" s="568">
        <v>57.15</v>
      </c>
      <c r="P36" s="569">
        <f>N48</f>
        <v>17685.779687563601</v>
      </c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>
        <v>8.5442077926280398</v>
      </c>
      <c r="AK36" s="17">
        <v>785</v>
      </c>
      <c r="AL36" s="102">
        <v>0</v>
      </c>
      <c r="AM36" s="9">
        <v>0</v>
      </c>
      <c r="AN36" s="9">
        <v>0</v>
      </c>
      <c r="AO36" s="17">
        <v>0</v>
      </c>
      <c r="AP36" s="17">
        <v>0</v>
      </c>
      <c r="AQ36" s="17">
        <v>0</v>
      </c>
      <c r="AR36" s="17">
        <v>0</v>
      </c>
      <c r="AS36" s="17">
        <v>0</v>
      </c>
      <c r="AT36" s="17">
        <v>0</v>
      </c>
      <c r="AU36" s="17"/>
      <c r="AV36" s="17"/>
      <c r="AW36" s="17"/>
    </row>
    <row r="37" spans="1:49" ht="15" x14ac:dyDescent="0.25">
      <c r="A37" s="17"/>
      <c r="B37" s="17"/>
      <c r="C37" s="17"/>
      <c r="D37" s="17"/>
      <c r="E37" s="9"/>
      <c r="F37" s="417" t="s">
        <v>132</v>
      </c>
      <c r="G37" s="675"/>
      <c r="H37" s="677">
        <v>0</v>
      </c>
      <c r="I37" s="17"/>
      <c r="J37" s="17"/>
      <c r="K37" s="17"/>
      <c r="L37" s="17"/>
      <c r="M37" s="407"/>
      <c r="N37" s="567">
        <v>4.4999999999999998E-2</v>
      </c>
      <c r="O37" s="568">
        <v>108.58499999999999</v>
      </c>
      <c r="P37" s="569">
        <f>N49</f>
        <v>3617.3721183234102</v>
      </c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>
        <v>9.1005316675725894</v>
      </c>
      <c r="AK37" s="17">
        <v>885</v>
      </c>
      <c r="AL37" s="102">
        <v>0</v>
      </c>
      <c r="AM37" s="9">
        <v>0</v>
      </c>
      <c r="AN37" s="9">
        <v>0</v>
      </c>
      <c r="AO37" s="17">
        <v>0</v>
      </c>
      <c r="AP37" s="17">
        <v>0</v>
      </c>
      <c r="AQ37" s="17">
        <v>0</v>
      </c>
      <c r="AR37" s="17">
        <v>0</v>
      </c>
      <c r="AS37" s="17">
        <v>0</v>
      </c>
      <c r="AT37" s="17">
        <v>0</v>
      </c>
      <c r="AU37" s="17"/>
      <c r="AV37" s="17"/>
      <c r="AW37" s="17"/>
    </row>
    <row r="38" spans="1:49" ht="15" x14ac:dyDescent="0.25">
      <c r="A38" s="9"/>
      <c r="B38" s="9"/>
      <c r="C38" s="9"/>
      <c r="D38" s="9"/>
      <c r="E38" s="9"/>
      <c r="F38" s="17"/>
      <c r="G38" s="17"/>
      <c r="H38" s="9"/>
      <c r="I38" s="17"/>
      <c r="J38" s="17"/>
      <c r="K38" s="17"/>
      <c r="L38" s="17"/>
      <c r="M38" s="54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>
        <v>9.6262934322457703</v>
      </c>
      <c r="AK38" s="17">
        <v>985</v>
      </c>
      <c r="AL38" s="102">
        <v>0</v>
      </c>
      <c r="AM38" s="9">
        <v>0</v>
      </c>
      <c r="AN38" s="9">
        <v>0</v>
      </c>
      <c r="AO38" s="17">
        <v>0</v>
      </c>
      <c r="AP38" s="17">
        <v>0</v>
      </c>
      <c r="AQ38" s="17">
        <v>0</v>
      </c>
      <c r="AR38" s="17">
        <v>0</v>
      </c>
      <c r="AS38" s="17">
        <v>0</v>
      </c>
      <c r="AT38" s="17">
        <v>0</v>
      </c>
      <c r="AU38" s="17"/>
      <c r="AV38" s="17"/>
      <c r="AW38" s="17"/>
    </row>
    <row r="39" spans="1:49" ht="15" x14ac:dyDescent="0.25">
      <c r="A39" s="17"/>
      <c r="B39" s="17"/>
      <c r="C39" s="17"/>
      <c r="D39" s="17"/>
      <c r="E39" s="17"/>
      <c r="F39" s="17"/>
      <c r="G39" s="17"/>
      <c r="H39" s="9"/>
      <c r="I39" s="17"/>
      <c r="J39" s="17"/>
      <c r="K39" s="17"/>
      <c r="L39" s="17"/>
      <c r="M39" s="54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>
        <v>10.1260368917892</v>
      </c>
      <c r="AK39" s="17">
        <v>1085</v>
      </c>
      <c r="AL39" s="102">
        <v>0</v>
      </c>
      <c r="AM39" s="9">
        <v>0</v>
      </c>
      <c r="AN39" s="9">
        <v>0</v>
      </c>
      <c r="AO39" s="17">
        <v>0</v>
      </c>
      <c r="AP39" s="17">
        <v>0</v>
      </c>
      <c r="AQ39" s="17">
        <v>0</v>
      </c>
      <c r="AR39" s="17">
        <v>0</v>
      </c>
      <c r="AS39" s="17">
        <v>0</v>
      </c>
      <c r="AT39" s="17">
        <v>0</v>
      </c>
      <c r="AU39" s="17"/>
      <c r="AV39" s="17"/>
      <c r="AW39" s="17"/>
    </row>
    <row r="40" spans="1:49" ht="15" x14ac:dyDescent="0.25">
      <c r="A40" s="17"/>
      <c r="B40" s="418" t="s">
        <v>192</v>
      </c>
      <c r="C40" s="431">
        <v>5256360</v>
      </c>
      <c r="D40" s="671">
        <v>0</v>
      </c>
      <c r="E40" s="17"/>
      <c r="F40" s="17"/>
      <c r="G40" s="17"/>
      <c r="H40" s="17"/>
      <c r="I40" s="17"/>
      <c r="J40" s="17"/>
      <c r="K40" s="17"/>
      <c r="L40" s="17"/>
      <c r="M40" s="54"/>
      <c r="Q40" s="570" t="s">
        <v>268</v>
      </c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>
        <v>10.6032804315916</v>
      </c>
      <c r="AK40" s="17">
        <v>1185</v>
      </c>
      <c r="AL40" s="102">
        <v>0</v>
      </c>
      <c r="AM40" s="9">
        <v>0</v>
      </c>
      <c r="AN40" s="9">
        <v>0</v>
      </c>
      <c r="AO40" s="17">
        <v>0</v>
      </c>
      <c r="AP40" s="17">
        <v>0</v>
      </c>
      <c r="AQ40" s="17">
        <v>0</v>
      </c>
      <c r="AR40" s="17">
        <v>0</v>
      </c>
      <c r="AS40" s="17">
        <v>0</v>
      </c>
      <c r="AT40" s="17">
        <v>0</v>
      </c>
      <c r="AU40" s="17"/>
      <c r="AV40" s="17"/>
      <c r="AW40" s="17"/>
    </row>
    <row r="41" spans="1:49" ht="15" x14ac:dyDescent="0.25">
      <c r="A41" s="17"/>
      <c r="B41" s="678"/>
      <c r="C41" s="9"/>
      <c r="D41" s="673">
        <v>0</v>
      </c>
      <c r="E41" s="17"/>
      <c r="F41" s="17"/>
      <c r="G41" s="17"/>
      <c r="H41" s="17"/>
      <c r="I41" s="17"/>
      <c r="J41" s="17"/>
      <c r="K41" s="17"/>
      <c r="L41" s="17"/>
      <c r="M41" s="54"/>
      <c r="Q41" s="571">
        <f>IF(P36&lt;2500,16/P36,1/(-4*LOG(((N36/O36)/3.7065)-(5.0452/P36)*LOG((N36/O36)^1.1098/2.8257+(7.149/P36)^0.8981)))^2)-0.0009</f>
        <v>6.1735644142153793E-3</v>
      </c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>
        <v>11.060814422088001</v>
      </c>
      <c r="AK41" s="17">
        <v>1285</v>
      </c>
      <c r="AL41" s="102">
        <v>0</v>
      </c>
      <c r="AM41" s="9">
        <v>0</v>
      </c>
      <c r="AN41" s="9">
        <v>0</v>
      </c>
      <c r="AO41" s="17">
        <v>0</v>
      </c>
      <c r="AP41" s="17">
        <v>0</v>
      </c>
      <c r="AQ41" s="17">
        <v>0</v>
      </c>
      <c r="AR41" s="17">
        <v>0</v>
      </c>
      <c r="AS41" s="17">
        <v>0</v>
      </c>
      <c r="AT41" s="17">
        <v>0</v>
      </c>
      <c r="AU41" s="17"/>
      <c r="AV41" s="17"/>
      <c r="AW41" s="17"/>
    </row>
    <row r="42" spans="1:49" ht="15" x14ac:dyDescent="0.25">
      <c r="A42" s="17"/>
      <c r="B42" s="672" t="s">
        <v>193</v>
      </c>
      <c r="C42" s="9">
        <v>1.375</v>
      </c>
      <c r="D42" s="452"/>
      <c r="E42" s="17"/>
      <c r="F42" s="17"/>
      <c r="G42" s="679" t="s">
        <v>135</v>
      </c>
      <c r="H42" s="680">
        <v>57</v>
      </c>
      <c r="I42" s="9"/>
      <c r="J42" s="17"/>
      <c r="K42" s="17"/>
      <c r="L42" s="9"/>
      <c r="M42" s="54"/>
      <c r="N42" s="17"/>
      <c r="O42" s="17"/>
      <c r="P42" s="17"/>
      <c r="Q42" s="571">
        <f>IF(P37&lt;2500,16/P37,1/(-4*LOG(((N37/O37)/3.7065)-(5.0452/P37)*LOG((N37/O37)^1.1098/2.8257+(7.149/P37)^0.8981)))^2)</f>
        <v>1.0350516942504644E-2</v>
      </c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>
        <v>11.5008961341338</v>
      </c>
      <c r="AK42" s="17">
        <v>1385</v>
      </c>
      <c r="AL42" s="102">
        <v>0</v>
      </c>
      <c r="AM42" s="9">
        <v>0</v>
      </c>
      <c r="AN42" s="9">
        <v>0</v>
      </c>
      <c r="AO42" s="17">
        <v>0</v>
      </c>
      <c r="AP42" s="17">
        <v>0</v>
      </c>
      <c r="AQ42" s="17">
        <v>0</v>
      </c>
      <c r="AR42" s="17">
        <v>0</v>
      </c>
      <c r="AS42" s="17">
        <v>0</v>
      </c>
      <c r="AT42" s="17">
        <v>0</v>
      </c>
      <c r="AU42" s="17"/>
      <c r="AV42" s="17"/>
      <c r="AW42" s="17"/>
    </row>
    <row r="43" spans="1:49" ht="15" x14ac:dyDescent="0.25">
      <c r="A43" s="17"/>
      <c r="B43" s="672" t="s">
        <v>194</v>
      </c>
      <c r="C43" s="9">
        <v>5.9365625</v>
      </c>
      <c r="D43" s="452"/>
      <c r="E43" s="54"/>
      <c r="F43" s="17"/>
      <c r="G43" s="681" t="s">
        <v>136</v>
      </c>
      <c r="H43" s="681">
        <v>28</v>
      </c>
      <c r="I43" s="682">
        <v>332.375759799619</v>
      </c>
      <c r="J43" s="9"/>
      <c r="K43" s="683"/>
      <c r="L43" s="9"/>
      <c r="M43" s="9"/>
      <c r="N43" s="9"/>
      <c r="O43" s="9"/>
      <c r="P43" s="9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>
        <v>11.9253822871884</v>
      </c>
      <c r="AK43" s="17">
        <v>1485</v>
      </c>
      <c r="AL43" s="102">
        <v>0</v>
      </c>
      <c r="AM43" s="9">
        <v>0</v>
      </c>
      <c r="AN43" s="9">
        <v>0</v>
      </c>
      <c r="AO43" s="17">
        <v>0</v>
      </c>
      <c r="AP43" s="17">
        <v>0</v>
      </c>
      <c r="AQ43" s="17">
        <v>0</v>
      </c>
      <c r="AR43" s="17">
        <v>0</v>
      </c>
      <c r="AS43" s="17">
        <v>0</v>
      </c>
      <c r="AT43" s="17">
        <v>0</v>
      </c>
      <c r="AU43" s="17"/>
      <c r="AV43" s="17"/>
      <c r="AW43" s="17"/>
    </row>
    <row r="44" spans="1:49" ht="15" x14ac:dyDescent="0.25">
      <c r="A44" s="17"/>
      <c r="B44" s="672" t="s">
        <v>195</v>
      </c>
      <c r="C44" s="17">
        <v>20.583783291470599</v>
      </c>
      <c r="D44" s="673">
        <v>6.3686926277032203</v>
      </c>
      <c r="E44" s="17"/>
      <c r="F44" s="17"/>
      <c r="G44" s="659" t="s">
        <v>311</v>
      </c>
      <c r="H44" s="684"/>
      <c r="I44" s="685">
        <v>330</v>
      </c>
      <c r="J44" s="17"/>
      <c r="K44" s="17"/>
      <c r="L44" s="9"/>
      <c r="M44" s="9"/>
      <c r="N44" s="9"/>
      <c r="O44" s="9"/>
      <c r="P44" s="9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>
        <v>12.335822013855401</v>
      </c>
      <c r="AK44" s="17">
        <v>1585</v>
      </c>
      <c r="AL44" s="102">
        <v>0</v>
      </c>
      <c r="AM44" s="9">
        <v>0</v>
      </c>
      <c r="AN44" s="9">
        <v>0</v>
      </c>
      <c r="AO44" s="17">
        <v>0</v>
      </c>
      <c r="AP44" s="17">
        <v>0</v>
      </c>
      <c r="AQ44" s="17">
        <v>0</v>
      </c>
      <c r="AR44" s="17">
        <v>0</v>
      </c>
      <c r="AS44" s="17">
        <v>0</v>
      </c>
      <c r="AT44" s="17">
        <v>0</v>
      </c>
      <c r="AU44" s="17"/>
      <c r="AV44" s="17"/>
      <c r="AW44" s="17"/>
    </row>
    <row r="45" spans="1:49" ht="15" x14ac:dyDescent="0.25">
      <c r="A45" s="17"/>
      <c r="B45" s="672" t="s">
        <v>196</v>
      </c>
      <c r="C45" s="9">
        <v>0</v>
      </c>
      <c r="D45" s="673"/>
      <c r="E45" s="17"/>
      <c r="F45" s="17"/>
      <c r="G45" s="659" t="s">
        <v>338</v>
      </c>
      <c r="H45" s="684"/>
      <c r="I45" s="685">
        <v>7581.6</v>
      </c>
      <c r="J45" s="17"/>
      <c r="K45" s="17"/>
      <c r="L45" s="645"/>
      <c r="M45" s="646" t="s">
        <v>273</v>
      </c>
      <c r="N45" s="431"/>
      <c r="O45" s="431" t="s">
        <v>274</v>
      </c>
      <c r="P45" s="431">
        <v>0.8</v>
      </c>
      <c r="Q45" s="431"/>
      <c r="R45" s="431"/>
      <c r="S45" s="686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>
        <v>12.733523796141</v>
      </c>
      <c r="AK45" s="17">
        <v>1685</v>
      </c>
      <c r="AL45" s="102">
        <v>0</v>
      </c>
      <c r="AM45" s="9">
        <v>0</v>
      </c>
      <c r="AN45" s="9">
        <v>0</v>
      </c>
      <c r="AO45" s="17">
        <v>0</v>
      </c>
      <c r="AP45" s="17">
        <v>0</v>
      </c>
      <c r="AQ45" s="17">
        <v>0</v>
      </c>
      <c r="AR45" s="17">
        <v>0</v>
      </c>
      <c r="AS45" s="17">
        <v>0</v>
      </c>
      <c r="AT45" s="17">
        <v>0</v>
      </c>
      <c r="AU45" s="17"/>
      <c r="AV45" s="17"/>
      <c r="AW45" s="17"/>
    </row>
    <row r="46" spans="1:49" ht="15" x14ac:dyDescent="0.25">
      <c r="A46" s="17"/>
      <c r="B46" s="417" t="s">
        <v>200</v>
      </c>
      <c r="C46" s="430">
        <v>0</v>
      </c>
      <c r="D46" s="677"/>
      <c r="E46" s="17"/>
      <c r="F46" s="17"/>
      <c r="G46" s="17"/>
      <c r="H46" s="17"/>
      <c r="I46" s="17"/>
      <c r="J46" s="17"/>
      <c r="K46" s="17"/>
      <c r="L46" s="672"/>
      <c r="M46" s="9"/>
      <c r="N46" s="17"/>
      <c r="O46" s="17"/>
      <c r="P46" s="17"/>
      <c r="Q46" s="17"/>
      <c r="R46" s="17"/>
      <c r="S46" s="452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>
        <v>13.119604762137101</v>
      </c>
      <c r="AK46" s="17">
        <v>1785</v>
      </c>
      <c r="AL46" s="102">
        <v>0</v>
      </c>
      <c r="AM46" s="9">
        <v>0</v>
      </c>
      <c r="AN46" s="9">
        <v>0</v>
      </c>
      <c r="AO46" s="17">
        <v>0</v>
      </c>
      <c r="AP46" s="17">
        <v>0</v>
      </c>
      <c r="AQ46" s="17">
        <v>0</v>
      </c>
      <c r="AR46" s="17">
        <v>0</v>
      </c>
      <c r="AS46" s="17">
        <v>0</v>
      </c>
      <c r="AT46" s="17">
        <v>0</v>
      </c>
      <c r="AU46" s="17"/>
      <c r="AV46" s="17"/>
      <c r="AW46" s="17"/>
    </row>
    <row r="47" spans="1:49" ht="15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672"/>
      <c r="M47" s="9" t="s">
        <v>276</v>
      </c>
      <c r="N47" s="17"/>
      <c r="O47" s="17"/>
      <c r="P47" s="17"/>
      <c r="Q47" s="17"/>
      <c r="R47" s="17"/>
      <c r="S47" s="452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>
        <v>13.495027712383299</v>
      </c>
      <c r="AK47" s="17">
        <v>1885</v>
      </c>
      <c r="AL47" s="102">
        <v>0</v>
      </c>
      <c r="AM47" s="9">
        <v>0</v>
      </c>
      <c r="AN47" s="9">
        <v>0</v>
      </c>
      <c r="AO47" s="17">
        <v>0</v>
      </c>
      <c r="AP47" s="17">
        <v>0</v>
      </c>
      <c r="AQ47" s="17">
        <v>0</v>
      </c>
      <c r="AR47" s="17">
        <v>0</v>
      </c>
      <c r="AS47" s="17">
        <v>0</v>
      </c>
      <c r="AT47" s="17">
        <v>0</v>
      </c>
      <c r="AU47" s="17"/>
      <c r="AV47" s="17"/>
      <c r="AW47" s="17"/>
    </row>
    <row r="48" spans="1:49" ht="15" x14ac:dyDescent="0.25">
      <c r="A48" s="17"/>
      <c r="B48" s="17"/>
      <c r="C48" s="17"/>
      <c r="D48" s="17"/>
      <c r="E48" s="17"/>
      <c r="F48" s="17"/>
      <c r="G48" s="17"/>
      <c r="H48" s="645" t="s">
        <v>309</v>
      </c>
      <c r="I48" s="431"/>
      <c r="J48" s="671">
        <v>0</v>
      </c>
      <c r="K48" s="17" t="s">
        <v>22</v>
      </c>
      <c r="L48" s="672" t="s">
        <v>277</v>
      </c>
      <c r="M48" s="9"/>
      <c r="N48" s="9">
        <v>17685.779687563601</v>
      </c>
      <c r="O48" s="17">
        <v>6.8504805659282001E-3</v>
      </c>
      <c r="P48" s="17">
        <v>346.22035864811699</v>
      </c>
      <c r="Q48" s="17" t="s">
        <v>22</v>
      </c>
      <c r="R48" s="17" t="s">
        <v>278</v>
      </c>
      <c r="S48" s="452">
        <v>0</v>
      </c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>
        <v>13.8606294143438</v>
      </c>
      <c r="AK48" s="17">
        <v>1985</v>
      </c>
      <c r="AL48" s="102">
        <v>0</v>
      </c>
      <c r="AM48" s="9">
        <v>0</v>
      </c>
      <c r="AN48" s="9">
        <v>0</v>
      </c>
      <c r="AO48" s="17">
        <v>0</v>
      </c>
      <c r="AP48" s="17">
        <v>0</v>
      </c>
      <c r="AQ48" s="17">
        <v>0</v>
      </c>
      <c r="AR48" s="17">
        <v>0</v>
      </c>
      <c r="AS48" s="17">
        <v>0</v>
      </c>
      <c r="AT48" s="17">
        <v>0</v>
      </c>
      <c r="AU48" s="17"/>
      <c r="AV48" s="17"/>
      <c r="AW48" s="17"/>
    </row>
    <row r="49" spans="1:49" ht="15" x14ac:dyDescent="0.25">
      <c r="A49" s="17"/>
      <c r="B49" s="17"/>
      <c r="C49" s="17"/>
      <c r="D49" s="17"/>
      <c r="E49" s="17"/>
      <c r="F49" s="17"/>
      <c r="G49" s="17"/>
      <c r="H49" s="678"/>
      <c r="I49" s="9"/>
      <c r="J49" s="687">
        <v>0</v>
      </c>
      <c r="K49" s="17"/>
      <c r="L49" s="672" t="s">
        <v>279</v>
      </c>
      <c r="M49" s="9"/>
      <c r="N49" s="9">
        <v>3617.3721183234102</v>
      </c>
      <c r="O49" s="17">
        <v>1.1056374138637E-2</v>
      </c>
      <c r="P49" s="17">
        <v>456.609027126961</v>
      </c>
      <c r="Q49" s="17" t="s">
        <v>22</v>
      </c>
      <c r="R49" s="17" t="s">
        <v>278</v>
      </c>
      <c r="S49" s="452">
        <v>0</v>
      </c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>
        <v>14.217142557243401</v>
      </c>
      <c r="AK49" s="17">
        <v>2085</v>
      </c>
      <c r="AL49" s="102">
        <v>0</v>
      </c>
      <c r="AM49" s="9">
        <v>0</v>
      </c>
      <c r="AN49" s="9">
        <v>0</v>
      </c>
      <c r="AO49" s="17">
        <v>0</v>
      </c>
      <c r="AP49" s="17">
        <v>0</v>
      </c>
      <c r="AQ49" s="17">
        <v>0</v>
      </c>
      <c r="AR49" s="17">
        <v>0</v>
      </c>
      <c r="AS49" s="17">
        <v>0</v>
      </c>
      <c r="AT49" s="17">
        <v>0</v>
      </c>
      <c r="AU49" s="17"/>
      <c r="AV49" s="17"/>
      <c r="AW49" s="17"/>
    </row>
    <row r="50" spans="1:49" ht="15" x14ac:dyDescent="0.25">
      <c r="A50" s="17"/>
      <c r="B50" s="688" t="s">
        <v>161</v>
      </c>
      <c r="C50" s="689"/>
      <c r="D50" s="689"/>
      <c r="E50" s="690"/>
      <c r="F50" s="9"/>
      <c r="G50" s="17"/>
      <c r="H50" s="672" t="s">
        <v>174</v>
      </c>
      <c r="I50" s="9"/>
      <c r="J50" s="691">
        <v>0</v>
      </c>
      <c r="K50" s="17" t="s">
        <v>175</v>
      </c>
      <c r="L50" s="672"/>
      <c r="M50" s="9"/>
      <c r="N50" s="9"/>
      <c r="O50" s="17" t="s">
        <v>267</v>
      </c>
      <c r="P50" s="17">
        <v>802.82938577507798</v>
      </c>
      <c r="Q50" s="17" t="s">
        <v>22</v>
      </c>
      <c r="R50" s="17"/>
      <c r="S50" s="452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>
        <v>15.8836471516071</v>
      </c>
      <c r="AK50" s="17">
        <v>2585</v>
      </c>
      <c r="AL50" s="102">
        <v>0</v>
      </c>
      <c r="AM50" s="9">
        <v>0</v>
      </c>
      <c r="AN50" s="9">
        <v>0</v>
      </c>
      <c r="AO50" s="17">
        <v>0</v>
      </c>
      <c r="AP50" s="17">
        <v>0</v>
      </c>
      <c r="AQ50" s="17">
        <v>0</v>
      </c>
      <c r="AR50" s="17">
        <v>0</v>
      </c>
      <c r="AS50" s="17">
        <v>0</v>
      </c>
      <c r="AT50" s="17">
        <v>0</v>
      </c>
      <c r="AU50" s="17"/>
      <c r="AV50" s="17"/>
      <c r="AW50" s="17"/>
    </row>
    <row r="51" spans="1:49" ht="15" x14ac:dyDescent="0.25">
      <c r="A51" s="17"/>
      <c r="B51" s="418" t="s">
        <v>95</v>
      </c>
      <c r="C51" s="431"/>
      <c r="D51" s="646">
        <v>0</v>
      </c>
      <c r="E51" s="686"/>
      <c r="F51" s="9"/>
      <c r="G51" s="17"/>
      <c r="H51" s="672" t="s">
        <v>176</v>
      </c>
      <c r="I51" s="9"/>
      <c r="J51" s="691">
        <v>0</v>
      </c>
      <c r="K51" s="9" t="s">
        <v>175</v>
      </c>
      <c r="L51" s="672"/>
      <c r="M51" s="9"/>
      <c r="N51" s="17"/>
      <c r="O51" s="17"/>
      <c r="P51" s="17"/>
      <c r="Q51" s="17"/>
      <c r="R51" s="17"/>
      <c r="S51" s="452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>
        <v>17.3955003248285</v>
      </c>
      <c r="AK51" s="17">
        <v>3085</v>
      </c>
      <c r="AL51" s="102">
        <v>0</v>
      </c>
      <c r="AM51" s="9">
        <v>0</v>
      </c>
      <c r="AN51" s="9">
        <v>0</v>
      </c>
      <c r="AO51" s="17">
        <v>0</v>
      </c>
      <c r="AP51" s="17">
        <v>0</v>
      </c>
      <c r="AQ51" s="17">
        <v>0</v>
      </c>
      <c r="AR51" s="17">
        <v>0</v>
      </c>
      <c r="AS51" s="17">
        <v>0</v>
      </c>
      <c r="AT51" s="17">
        <v>0</v>
      </c>
      <c r="AU51" s="17"/>
      <c r="AV51" s="17"/>
      <c r="AW51" s="17"/>
    </row>
    <row r="52" spans="1:49" ht="15" x14ac:dyDescent="0.25">
      <c r="A52" s="9"/>
      <c r="B52" s="678" t="s">
        <v>97</v>
      </c>
      <c r="C52" s="17"/>
      <c r="D52" s="682">
        <v>200</v>
      </c>
      <c r="E52" s="452" t="s">
        <v>175</v>
      </c>
      <c r="F52" s="9"/>
      <c r="G52" s="17"/>
      <c r="H52" s="672" t="s">
        <v>177</v>
      </c>
      <c r="I52" s="9"/>
      <c r="J52" s="691">
        <v>0</v>
      </c>
      <c r="K52" s="9"/>
      <c r="L52" s="672"/>
      <c r="M52" s="9"/>
      <c r="N52" s="17" t="s">
        <v>280</v>
      </c>
      <c r="O52" s="17" t="s">
        <v>267</v>
      </c>
      <c r="P52" s="9">
        <v>1135.2051455747001</v>
      </c>
      <c r="Q52" s="17" t="s">
        <v>22</v>
      </c>
      <c r="R52" s="17"/>
      <c r="S52" s="452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>
        <v>3585</v>
      </c>
      <c r="AL52" s="102">
        <v>0</v>
      </c>
      <c r="AM52" s="9">
        <v>0</v>
      </c>
      <c r="AN52" s="9">
        <v>0</v>
      </c>
      <c r="AO52" s="17">
        <v>0</v>
      </c>
      <c r="AP52" s="17">
        <v>0</v>
      </c>
      <c r="AQ52" s="17">
        <v>0</v>
      </c>
      <c r="AR52" s="17">
        <v>0</v>
      </c>
      <c r="AS52" s="17">
        <v>0</v>
      </c>
      <c r="AT52" s="17">
        <v>0</v>
      </c>
      <c r="AU52" s="17"/>
      <c r="AV52" s="17"/>
      <c r="AW52" s="17"/>
    </row>
    <row r="53" spans="1:49" ht="15" x14ac:dyDescent="0.25">
      <c r="A53" s="17"/>
      <c r="B53" s="678" t="s">
        <v>313</v>
      </c>
      <c r="C53" s="17"/>
      <c r="D53" s="102">
        <v>0.14000000000000001</v>
      </c>
      <c r="E53" s="452"/>
      <c r="F53" s="9"/>
      <c r="G53" s="17"/>
      <c r="H53" s="692" t="s">
        <v>310</v>
      </c>
      <c r="I53" s="693"/>
      <c r="J53" s="694">
        <v>0</v>
      </c>
      <c r="K53" s="9" t="s">
        <v>237</v>
      </c>
      <c r="L53" s="672"/>
      <c r="M53" s="9"/>
      <c r="N53" s="17" t="s">
        <v>281</v>
      </c>
      <c r="O53" s="17"/>
      <c r="P53" s="17">
        <v>30</v>
      </c>
      <c r="Q53" s="17" t="s">
        <v>22</v>
      </c>
      <c r="R53" s="17"/>
      <c r="S53" s="452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 t="s">
        <v>339</v>
      </c>
      <c r="AK53" s="17">
        <v>4085</v>
      </c>
      <c r="AL53" s="102">
        <v>0</v>
      </c>
      <c r="AM53" s="9">
        <v>0</v>
      </c>
      <c r="AN53" s="9">
        <v>0</v>
      </c>
      <c r="AO53" s="17">
        <v>0</v>
      </c>
      <c r="AP53" s="17">
        <v>0</v>
      </c>
      <c r="AQ53" s="17">
        <v>0</v>
      </c>
      <c r="AR53" s="17">
        <v>0</v>
      </c>
      <c r="AS53" s="17">
        <v>0</v>
      </c>
      <c r="AT53" s="17">
        <v>0</v>
      </c>
      <c r="AU53" s="17"/>
      <c r="AV53" s="17"/>
      <c r="AW53" s="17"/>
    </row>
    <row r="54" spans="1:49" ht="15" x14ac:dyDescent="0.25">
      <c r="A54" s="17"/>
      <c r="B54" s="678" t="s">
        <v>162</v>
      </c>
      <c r="C54" s="17"/>
      <c r="D54" s="17"/>
      <c r="E54" s="695">
        <v>42.483120836674203</v>
      </c>
      <c r="F54" s="9"/>
      <c r="G54" s="17"/>
      <c r="H54" s="17"/>
      <c r="I54" s="17"/>
      <c r="J54" s="17"/>
      <c r="K54" s="17"/>
      <c r="L54" s="672"/>
      <c r="M54" s="17"/>
      <c r="N54" s="17"/>
      <c r="O54" s="17"/>
      <c r="P54" s="9">
        <v>1165.2051455747001</v>
      </c>
      <c r="Q54" s="17" t="s">
        <v>22</v>
      </c>
      <c r="R54" s="17"/>
      <c r="S54" s="682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>
        <v>4585</v>
      </c>
      <c r="AL54" s="102">
        <v>0</v>
      </c>
      <c r="AM54" s="9">
        <v>0</v>
      </c>
      <c r="AN54" s="9">
        <v>0</v>
      </c>
      <c r="AO54" s="17">
        <v>0</v>
      </c>
      <c r="AP54" s="17">
        <v>0</v>
      </c>
      <c r="AQ54" s="17">
        <v>0</v>
      </c>
      <c r="AR54" s="17">
        <v>0</v>
      </c>
      <c r="AS54" s="17">
        <v>0</v>
      </c>
      <c r="AT54" s="17">
        <v>0</v>
      </c>
      <c r="AU54" s="17"/>
      <c r="AV54" s="17"/>
      <c r="AW54" s="17"/>
    </row>
    <row r="55" spans="1:49" ht="15" x14ac:dyDescent="0.25">
      <c r="A55" s="17"/>
      <c r="B55" s="678" t="s">
        <v>314</v>
      </c>
      <c r="C55" s="17"/>
      <c r="D55" s="9">
        <v>5.9476369171343801</v>
      </c>
      <c r="E55" s="452"/>
      <c r="F55" s="9"/>
      <c r="G55" s="17"/>
      <c r="H55" s="17"/>
      <c r="I55" s="17"/>
      <c r="J55" s="17"/>
      <c r="K55" s="17"/>
      <c r="L55" s="672"/>
      <c r="M55" s="17"/>
      <c r="P55" s="407"/>
      <c r="Q55" s="54"/>
      <c r="R55" s="54" t="s">
        <v>283</v>
      </c>
      <c r="S55" s="696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>
        <v>5085</v>
      </c>
      <c r="AL55" s="102">
        <v>0</v>
      </c>
      <c r="AM55" s="9">
        <v>0</v>
      </c>
      <c r="AN55" s="9">
        <v>0</v>
      </c>
      <c r="AO55" s="17">
        <v>0</v>
      </c>
      <c r="AP55" s="17">
        <v>0</v>
      </c>
      <c r="AQ55" s="17">
        <v>0</v>
      </c>
      <c r="AR55" s="17">
        <v>0</v>
      </c>
      <c r="AS55" s="17">
        <v>0</v>
      </c>
      <c r="AT55" s="17">
        <v>0</v>
      </c>
      <c r="AU55" s="17"/>
      <c r="AV55" s="17"/>
      <c r="AW55" s="17"/>
    </row>
    <row r="56" spans="1:49" ht="15" x14ac:dyDescent="0.25">
      <c r="A56" s="17"/>
      <c r="B56" s="678" t="s">
        <v>164</v>
      </c>
      <c r="C56" s="17"/>
      <c r="D56" s="9">
        <v>7.73092546960528</v>
      </c>
      <c r="E56" s="452" t="s">
        <v>237</v>
      </c>
      <c r="F56" s="17"/>
      <c r="G56" s="17"/>
      <c r="H56" s="17"/>
      <c r="I56" s="17"/>
      <c r="J56" s="17"/>
      <c r="K56" s="17"/>
      <c r="L56" s="672"/>
      <c r="M56" s="17"/>
      <c r="N56" s="54" t="s">
        <v>285</v>
      </c>
      <c r="O56" s="581">
        <v>2838.0128639367399</v>
      </c>
      <c r="P56" s="581"/>
      <c r="Q56" s="54"/>
      <c r="R56" s="581">
        <v>2141.8965010843399</v>
      </c>
      <c r="S56" s="452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>
        <v>5585</v>
      </c>
      <c r="AL56" s="102">
        <v>0</v>
      </c>
      <c r="AM56" s="9">
        <v>0</v>
      </c>
      <c r="AN56" s="9">
        <v>0</v>
      </c>
      <c r="AO56" s="17">
        <v>0</v>
      </c>
      <c r="AP56" s="17">
        <v>0</v>
      </c>
      <c r="AQ56" s="17">
        <v>0</v>
      </c>
      <c r="AR56" s="17">
        <v>0</v>
      </c>
      <c r="AS56" s="17">
        <v>0</v>
      </c>
      <c r="AT56" s="17">
        <v>0</v>
      </c>
      <c r="AU56" s="17"/>
      <c r="AV56" s="17"/>
      <c r="AW56" s="17"/>
    </row>
    <row r="57" spans="1:49" ht="15" x14ac:dyDescent="0.25">
      <c r="A57" s="17"/>
      <c r="B57" s="672" t="s">
        <v>318</v>
      </c>
      <c r="C57" s="17"/>
      <c r="D57" s="9">
        <v>3.8080349999999998</v>
      </c>
      <c r="E57" s="452" t="s">
        <v>319</v>
      </c>
      <c r="F57" s="17"/>
      <c r="G57" s="17"/>
      <c r="H57" s="17"/>
      <c r="I57" s="17"/>
      <c r="J57" s="17"/>
      <c r="K57" s="17"/>
      <c r="L57" s="672"/>
      <c r="M57" s="9"/>
      <c r="N57" s="594" t="s">
        <v>287</v>
      </c>
      <c r="O57" s="595">
        <v>1702.8077183620501</v>
      </c>
      <c r="P57" s="595"/>
      <c r="Q57" s="594"/>
      <c r="R57" s="595">
        <v>1006.6913555096399</v>
      </c>
      <c r="S57" s="452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9">
        <v>3420</v>
      </c>
      <c r="AL57" s="102">
        <v>0</v>
      </c>
      <c r="AM57" s="9">
        <v>0</v>
      </c>
      <c r="AN57" s="9">
        <v>0</v>
      </c>
      <c r="AO57" s="17">
        <v>0</v>
      </c>
      <c r="AP57" s="17">
        <v>0</v>
      </c>
      <c r="AQ57" s="17">
        <v>0</v>
      </c>
      <c r="AR57" s="17">
        <v>0</v>
      </c>
      <c r="AS57" s="17">
        <v>0</v>
      </c>
      <c r="AT57" s="17">
        <v>0</v>
      </c>
      <c r="AU57" s="17"/>
      <c r="AV57" s="17"/>
      <c r="AW57" s="17"/>
    </row>
    <row r="58" spans="1:49" ht="15" x14ac:dyDescent="0.25">
      <c r="A58" s="17"/>
      <c r="B58" s="672" t="s">
        <v>108</v>
      </c>
      <c r="C58" s="9"/>
      <c r="D58" s="562">
        <v>1E-3</v>
      </c>
      <c r="E58" s="673" t="s">
        <v>237</v>
      </c>
      <c r="F58" s="17"/>
      <c r="G58" s="17"/>
      <c r="H58" s="17"/>
      <c r="I58" s="17"/>
      <c r="J58" s="17"/>
      <c r="K58" s="17"/>
      <c r="L58" s="692"/>
      <c r="M58" s="693"/>
      <c r="N58" s="54" t="s">
        <v>45</v>
      </c>
      <c r="O58" s="581">
        <v>461.87644103865199</v>
      </c>
      <c r="Q58" s="54"/>
      <c r="R58" s="581">
        <v>348.58599323671899</v>
      </c>
      <c r="S58" s="469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02"/>
      <c r="AM58" s="9"/>
      <c r="AN58" s="9"/>
      <c r="AO58" s="17"/>
      <c r="AP58" s="17"/>
      <c r="AQ58" s="17"/>
      <c r="AR58" s="17"/>
      <c r="AS58" s="17"/>
      <c r="AT58" s="17"/>
      <c r="AU58" s="17"/>
      <c r="AV58" s="17"/>
      <c r="AW58" s="17"/>
    </row>
    <row r="59" spans="1:49" ht="15" x14ac:dyDescent="0.25">
      <c r="A59" s="17"/>
      <c r="B59" s="697" t="s">
        <v>165</v>
      </c>
      <c r="C59" s="562"/>
      <c r="D59" s="698">
        <v>1.17361221015776E-3</v>
      </c>
      <c r="E59" s="673" t="s">
        <v>237</v>
      </c>
      <c r="F59" s="17"/>
      <c r="G59" s="17"/>
      <c r="H59" s="17"/>
      <c r="I59" s="17"/>
      <c r="J59" s="17"/>
      <c r="K59" s="17"/>
      <c r="L59" s="17"/>
      <c r="M59" s="17"/>
      <c r="N59" s="54" t="s">
        <v>289</v>
      </c>
      <c r="O59" s="566">
        <v>0.23142174835950099</v>
      </c>
      <c r="P59" s="54" t="s">
        <v>290</v>
      </c>
      <c r="Q59" s="54"/>
      <c r="R59" s="566">
        <v>0.30098080932301302</v>
      </c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02"/>
      <c r="AM59" s="9"/>
      <c r="AN59" s="9"/>
      <c r="AO59" s="17"/>
      <c r="AP59" s="17"/>
      <c r="AQ59" s="17"/>
      <c r="AR59" s="17"/>
      <c r="AS59" s="17"/>
      <c r="AT59" s="17"/>
      <c r="AU59" s="17"/>
      <c r="AV59" s="17"/>
      <c r="AW59" s="17"/>
    </row>
    <row r="60" spans="1:49" ht="15" x14ac:dyDescent="0.25">
      <c r="A60" s="17"/>
      <c r="B60" s="672" t="s">
        <v>166</v>
      </c>
      <c r="C60" s="9"/>
      <c r="D60" s="683" t="s">
        <v>167</v>
      </c>
      <c r="E60" s="452"/>
      <c r="F60" s="17"/>
      <c r="G60" s="17"/>
      <c r="H60" s="17"/>
      <c r="I60" s="17"/>
      <c r="J60" s="17"/>
      <c r="K60" s="17"/>
      <c r="L60" s="17"/>
      <c r="M60" s="17"/>
      <c r="N60" s="407" t="s">
        <v>291</v>
      </c>
      <c r="O60" s="581">
        <v>10.0287417164513</v>
      </c>
      <c r="P60" s="54"/>
      <c r="Q60" s="54"/>
      <c r="R60" s="581">
        <v>11.437043269611801</v>
      </c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02"/>
      <c r="AM60" s="9"/>
      <c r="AN60" s="9"/>
      <c r="AO60" s="17"/>
      <c r="AP60" s="17"/>
      <c r="AQ60" s="17"/>
      <c r="AR60" s="17"/>
      <c r="AS60" s="17"/>
      <c r="AT60" s="17"/>
      <c r="AU60" s="17"/>
      <c r="AV60" s="17"/>
      <c r="AW60" s="17"/>
    </row>
    <row r="61" spans="1:49" ht="15" x14ac:dyDescent="0.25">
      <c r="A61" s="17"/>
      <c r="B61" s="697" t="s">
        <v>322</v>
      </c>
      <c r="C61" s="562"/>
      <c r="D61" s="698">
        <v>1.08123201156763E-2</v>
      </c>
      <c r="E61" s="673" t="s">
        <v>319</v>
      </c>
      <c r="F61" s="17"/>
      <c r="G61" s="17"/>
      <c r="H61" s="17"/>
      <c r="I61" s="17"/>
      <c r="J61" s="17"/>
      <c r="K61" s="17"/>
      <c r="L61" s="17"/>
      <c r="M61" s="17"/>
      <c r="N61" s="54" t="s">
        <v>293</v>
      </c>
      <c r="O61" s="581">
        <v>10.0287417164513</v>
      </c>
      <c r="P61" s="54"/>
      <c r="Q61" s="54"/>
      <c r="R61" s="581">
        <v>11.437043269611801</v>
      </c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02"/>
      <c r="AM61" s="9"/>
      <c r="AN61" s="9"/>
      <c r="AO61" s="17"/>
      <c r="AP61" s="17"/>
      <c r="AQ61" s="17"/>
      <c r="AR61" s="17"/>
      <c r="AS61" s="17"/>
      <c r="AT61" s="17"/>
      <c r="AU61" s="17"/>
      <c r="AV61" s="17"/>
      <c r="AW61" s="17"/>
    </row>
    <row r="62" spans="1:49" x14ac:dyDescent="0.2">
      <c r="A62" s="17"/>
      <c r="B62" s="678" t="s">
        <v>323</v>
      </c>
      <c r="C62" s="17"/>
      <c r="D62" s="562">
        <v>21.009777621816799</v>
      </c>
      <c r="E62" s="452" t="s">
        <v>324</v>
      </c>
      <c r="F62" s="17"/>
      <c r="G62" s="17"/>
      <c r="H62" s="17"/>
      <c r="I62" s="17"/>
      <c r="J62" s="17"/>
      <c r="K62" s="17"/>
      <c r="L62" s="17"/>
      <c r="M62" s="17"/>
      <c r="N62" s="54" t="s">
        <v>294</v>
      </c>
      <c r="O62" s="581">
        <v>10.0287417164513</v>
      </c>
      <c r="P62" s="54"/>
      <c r="Q62" s="54"/>
      <c r="R62" s="581">
        <v>11.437043269611801</v>
      </c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</row>
    <row r="63" spans="1:49" ht="15" x14ac:dyDescent="0.25">
      <c r="A63" s="17"/>
      <c r="B63" s="699" t="s">
        <v>325</v>
      </c>
      <c r="C63" s="430"/>
      <c r="D63" s="700">
        <v>2.64655343150074</v>
      </c>
      <c r="E63" s="677" t="s">
        <v>326</v>
      </c>
      <c r="F63" s="9"/>
      <c r="G63" s="17"/>
      <c r="H63" s="17"/>
      <c r="I63" s="17"/>
      <c r="J63" s="17"/>
      <c r="K63" s="17"/>
      <c r="L63" s="17"/>
      <c r="M63" s="17"/>
      <c r="N63" s="54" t="s">
        <v>295</v>
      </c>
      <c r="O63" s="581" t="s">
        <v>46</v>
      </c>
      <c r="P63" s="54"/>
      <c r="Q63" s="54"/>
      <c r="R63" s="581" t="s">
        <v>46</v>
      </c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</row>
    <row r="64" spans="1:49" x14ac:dyDescent="0.2">
      <c r="A64" s="17"/>
      <c r="B64" s="17"/>
      <c r="C64" s="17"/>
      <c r="D64" s="17"/>
      <c r="E64" s="17"/>
      <c r="F64" s="9"/>
      <c r="G64" s="17"/>
      <c r="H64" s="17"/>
      <c r="I64" s="17"/>
      <c r="J64" s="17"/>
      <c r="K64" s="17"/>
      <c r="L64" s="17"/>
      <c r="M64" s="17"/>
      <c r="N64" s="54" t="s">
        <v>297</v>
      </c>
      <c r="O64" s="581" t="s">
        <v>46</v>
      </c>
      <c r="P64" s="54"/>
      <c r="Q64" s="407"/>
      <c r="R64" s="581" t="s">
        <v>46</v>
      </c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</row>
    <row r="65" spans="1:49" x14ac:dyDescent="0.2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54" t="s">
        <v>300</v>
      </c>
      <c r="O65" s="581" t="s">
        <v>46</v>
      </c>
      <c r="P65" s="407"/>
      <c r="Q65" s="54"/>
      <c r="R65" s="581" t="s">
        <v>46</v>
      </c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</row>
    <row r="66" spans="1:49" x14ac:dyDescent="0.2">
      <c r="A66" s="17"/>
      <c r="B66" s="17"/>
      <c r="C66" s="17"/>
      <c r="D66" s="17"/>
      <c r="E66" s="17">
        <v>0</v>
      </c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</row>
    <row r="67" spans="1:49" x14ac:dyDescent="0.2">
      <c r="A67" s="688" t="s">
        <v>340</v>
      </c>
      <c r="B67" s="689"/>
      <c r="C67" s="689"/>
      <c r="D67" s="690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</row>
    <row r="68" spans="1:49" ht="15" x14ac:dyDescent="0.25">
      <c r="A68" s="672" t="s">
        <v>331</v>
      </c>
      <c r="B68" s="9"/>
      <c r="C68" s="102" t="s">
        <v>12</v>
      </c>
      <c r="D68" s="673"/>
      <c r="E68" s="17"/>
      <c r="F68" s="17">
        <v>0</v>
      </c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</row>
    <row r="69" spans="1:49" ht="15" x14ac:dyDescent="0.25">
      <c r="A69" s="672" t="s">
        <v>332</v>
      </c>
      <c r="B69" s="9"/>
      <c r="C69" s="102">
        <v>0</v>
      </c>
      <c r="D69" s="673" t="s">
        <v>237</v>
      </c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</row>
    <row r="70" spans="1:49" x14ac:dyDescent="0.2">
      <c r="A70" s="672" t="s">
        <v>341</v>
      </c>
      <c r="B70" s="9" t="s">
        <v>240</v>
      </c>
      <c r="C70" s="9">
        <v>0</v>
      </c>
      <c r="D70" s="673" t="s">
        <v>237</v>
      </c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</row>
    <row r="71" spans="1:49" x14ac:dyDescent="0.2">
      <c r="A71" s="672"/>
      <c r="B71" s="9" t="s">
        <v>342</v>
      </c>
      <c r="C71" s="9">
        <v>0</v>
      </c>
      <c r="D71" s="452" t="s">
        <v>237</v>
      </c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400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</row>
    <row r="72" spans="1:49" ht="15" x14ac:dyDescent="0.25">
      <c r="A72" s="672" t="s">
        <v>171</v>
      </c>
      <c r="B72" s="9"/>
      <c r="C72" s="102">
        <v>91.337344261060295</v>
      </c>
      <c r="D72" s="673" t="s">
        <v>237</v>
      </c>
      <c r="E72" s="17">
        <v>35.959584354748202</v>
      </c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</row>
    <row r="73" spans="1:49" ht="15" x14ac:dyDescent="0.25">
      <c r="A73" s="672" t="s">
        <v>172</v>
      </c>
      <c r="B73" s="17"/>
      <c r="C73" s="701">
        <v>11.870029589905601</v>
      </c>
      <c r="D73" s="673" t="s">
        <v>237</v>
      </c>
      <c r="E73" s="17">
        <v>4.67323999602581</v>
      </c>
      <c r="F73" s="17"/>
      <c r="G73" s="17"/>
      <c r="H73" s="17"/>
      <c r="I73" s="17"/>
      <c r="J73" s="17"/>
      <c r="K73" s="17"/>
      <c r="L73" s="9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</row>
    <row r="74" spans="1:49" ht="15" x14ac:dyDescent="0.25">
      <c r="A74" s="417" t="s">
        <v>173</v>
      </c>
      <c r="B74" s="675"/>
      <c r="C74" s="702">
        <v>103.20737385096599</v>
      </c>
      <c r="D74" s="469" t="s">
        <v>237</v>
      </c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9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</row>
    <row r="75" spans="1:49" x14ac:dyDescent="0.2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9"/>
      <c r="N75" s="9"/>
      <c r="O75" s="9"/>
      <c r="P75" s="9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</row>
    <row r="76" spans="1:49" ht="15" x14ac:dyDescent="0.25">
      <c r="A76" s="672" t="s">
        <v>343</v>
      </c>
      <c r="B76" s="9"/>
      <c r="C76" s="102">
        <v>3</v>
      </c>
      <c r="D76" s="673" t="s">
        <v>344</v>
      </c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</row>
    <row r="77" spans="1:49" ht="15" x14ac:dyDescent="0.25">
      <c r="A77" s="672" t="s">
        <v>345</v>
      </c>
      <c r="B77" s="9"/>
      <c r="C77" s="102">
        <v>66.575333962069195</v>
      </c>
      <c r="D77" s="673" t="s">
        <v>344</v>
      </c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</row>
    <row r="78" spans="1:49" x14ac:dyDescent="0.2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9"/>
      <c r="M78" s="17"/>
      <c r="N78" s="17"/>
      <c r="O78" s="17"/>
      <c r="P78" s="9"/>
      <c r="Q78" s="17"/>
      <c r="R78" s="17"/>
      <c r="S78" s="17"/>
      <c r="T78" s="17"/>
      <c r="U78" s="9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</row>
    <row r="79" spans="1:49" x14ac:dyDescent="0.2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9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</row>
    <row r="80" spans="1:49" x14ac:dyDescent="0.2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9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</row>
    <row r="81" spans="1:49" x14ac:dyDescent="0.2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9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</row>
    <row r="82" spans="1:49" x14ac:dyDescent="0.2">
      <c r="A82" s="703" t="s">
        <v>346</v>
      </c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9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</row>
    <row r="85" spans="1:49" x14ac:dyDescent="0.2">
      <c r="A85" s="120" t="s">
        <v>125</v>
      </c>
      <c r="B85" s="117"/>
      <c r="C85" s="9">
        <v>0</v>
      </c>
    </row>
    <row r="87" spans="1:49" x14ac:dyDescent="0.2">
      <c r="A87" s="17"/>
      <c r="B87" s="17"/>
      <c r="C87" s="17"/>
      <c r="D87" s="17"/>
      <c r="E87" s="17"/>
      <c r="F87" s="17"/>
    </row>
    <row r="88" spans="1:49" ht="14.25" x14ac:dyDescent="0.2">
      <c r="A88" s="17"/>
      <c r="B88" s="110" t="s">
        <v>17</v>
      </c>
      <c r="C88" s="287"/>
      <c r="D88" s="287"/>
      <c r="E88" s="41"/>
      <c r="F88" s="17"/>
    </row>
    <row r="89" spans="1:49" ht="15" x14ac:dyDescent="0.25">
      <c r="A89" s="17"/>
      <c r="B89" s="299" t="s">
        <v>19</v>
      </c>
      <c r="C89" s="140">
        <v>0</v>
      </c>
      <c r="D89" s="17"/>
      <c r="E89" s="151"/>
      <c r="F89" s="17"/>
    </row>
    <row r="90" spans="1:49" ht="15" x14ac:dyDescent="0.25">
      <c r="A90" s="17"/>
      <c r="B90" s="120" t="s">
        <v>21</v>
      </c>
      <c r="C90" s="117"/>
      <c r="D90" s="17"/>
      <c r="E90" s="704" t="s">
        <v>22</v>
      </c>
      <c r="F90" s="17"/>
    </row>
    <row r="91" spans="1:49" ht="15" x14ac:dyDescent="0.25">
      <c r="A91" s="17"/>
      <c r="B91" s="120" t="s">
        <v>24</v>
      </c>
      <c r="C91" s="117"/>
      <c r="D91" s="17"/>
      <c r="E91" s="704" t="s">
        <v>22</v>
      </c>
      <c r="F91" s="17"/>
    </row>
    <row r="92" spans="1:49" ht="15" x14ac:dyDescent="0.25">
      <c r="A92" s="17"/>
      <c r="B92" s="120" t="s">
        <v>26</v>
      </c>
      <c r="C92" s="117"/>
      <c r="D92" s="17"/>
      <c r="E92" s="704" t="s">
        <v>22</v>
      </c>
      <c r="F92" s="17"/>
    </row>
    <row r="93" spans="1:49" ht="15" x14ac:dyDescent="0.25">
      <c r="A93" s="17"/>
      <c r="B93" s="120" t="s">
        <v>29</v>
      </c>
      <c r="C93" s="117"/>
      <c r="D93" s="17"/>
      <c r="E93" s="704" t="s">
        <v>22</v>
      </c>
      <c r="F93" s="17"/>
    </row>
    <row r="94" spans="1:49" ht="15" x14ac:dyDescent="0.25">
      <c r="A94" s="17"/>
      <c r="B94" s="120" t="s">
        <v>31</v>
      </c>
      <c r="C94" s="117"/>
      <c r="D94" s="17"/>
      <c r="E94" s="704" t="s">
        <v>22</v>
      </c>
      <c r="F94" s="17"/>
    </row>
    <row r="95" spans="1:49" ht="15" x14ac:dyDescent="0.25">
      <c r="A95" s="17"/>
      <c r="B95" s="120" t="s">
        <v>32</v>
      </c>
      <c r="C95" s="117"/>
      <c r="D95" s="17"/>
      <c r="E95" s="704" t="s">
        <v>22</v>
      </c>
      <c r="F95" s="17"/>
    </row>
    <row r="96" spans="1:49" ht="15" x14ac:dyDescent="0.25">
      <c r="A96" s="17"/>
      <c r="B96" s="120" t="s">
        <v>35</v>
      </c>
      <c r="C96" s="117"/>
      <c r="D96" s="17"/>
      <c r="E96" s="704" t="s">
        <v>22</v>
      </c>
      <c r="F96" s="17"/>
    </row>
    <row r="97" spans="1:10" ht="15" x14ac:dyDescent="0.25">
      <c r="A97" s="17"/>
      <c r="B97" s="120" t="s">
        <v>37</v>
      </c>
      <c r="C97" s="117"/>
      <c r="D97" s="17"/>
      <c r="E97" s="704" t="s">
        <v>22</v>
      </c>
      <c r="F97" s="17"/>
    </row>
    <row r="98" spans="1:10" ht="15" x14ac:dyDescent="0.25">
      <c r="A98" s="17"/>
      <c r="B98" s="120" t="s">
        <v>39</v>
      </c>
      <c r="C98" s="117"/>
      <c r="D98" s="17"/>
      <c r="E98" s="704" t="s">
        <v>22</v>
      </c>
      <c r="F98" s="17"/>
    </row>
    <row r="99" spans="1:10" ht="15" x14ac:dyDescent="0.25">
      <c r="A99" s="17"/>
      <c r="B99" s="120" t="s">
        <v>43</v>
      </c>
      <c r="C99" s="117"/>
      <c r="D99" s="17"/>
      <c r="E99" s="704" t="s">
        <v>22</v>
      </c>
      <c r="F99" s="17"/>
    </row>
    <row r="100" spans="1:10" ht="15" x14ac:dyDescent="0.25">
      <c r="A100" s="17"/>
      <c r="B100" s="120" t="s">
        <v>45</v>
      </c>
      <c r="C100" s="117"/>
      <c r="D100" s="17"/>
      <c r="E100" s="705" t="s">
        <v>46</v>
      </c>
      <c r="F100" s="17"/>
    </row>
    <row r="101" spans="1:10" ht="15" x14ac:dyDescent="0.25">
      <c r="A101" s="9"/>
      <c r="B101" s="145" t="s">
        <v>51</v>
      </c>
      <c r="C101" s="146"/>
      <c r="D101" s="17"/>
      <c r="E101" s="706" t="s">
        <v>347</v>
      </c>
      <c r="F101" s="17"/>
    </row>
    <row r="102" spans="1:10" x14ac:dyDescent="0.2">
      <c r="A102" s="9"/>
      <c r="B102" s="9"/>
      <c r="C102" s="9"/>
      <c r="D102" s="9"/>
      <c r="E102" s="9"/>
      <c r="F102" s="9"/>
    </row>
    <row r="103" spans="1:10" x14ac:dyDescent="0.2">
      <c r="A103" s="9"/>
      <c r="B103" s="9"/>
      <c r="C103" s="9"/>
      <c r="D103" s="9"/>
      <c r="E103" s="9"/>
      <c r="F103" s="9"/>
    </row>
    <row r="104" spans="1:10" x14ac:dyDescent="0.2">
      <c r="A104" s="9"/>
      <c r="B104" s="9"/>
      <c r="C104" s="9"/>
      <c r="D104" s="9"/>
      <c r="E104" s="9"/>
      <c r="F104" s="9"/>
      <c r="G104" s="9"/>
      <c r="H104" s="9"/>
      <c r="I104" s="17"/>
      <c r="J104" s="17"/>
    </row>
    <row r="105" spans="1:10" ht="14.25" x14ac:dyDescent="0.2">
      <c r="A105" s="17"/>
      <c r="B105" s="707" t="s">
        <v>140</v>
      </c>
      <c r="C105" s="708"/>
      <c r="D105" s="708"/>
      <c r="E105" s="709"/>
      <c r="F105" s="241"/>
      <c r="G105" s="9"/>
      <c r="H105" s="9"/>
      <c r="I105" s="17"/>
      <c r="J105" s="17"/>
    </row>
    <row r="106" spans="1:10" x14ac:dyDescent="0.2">
      <c r="A106" s="17"/>
      <c r="B106" s="17" t="s">
        <v>121</v>
      </c>
      <c r="C106" s="17"/>
      <c r="D106" s="17"/>
      <c r="E106" s="17"/>
      <c r="F106" s="17"/>
      <c r="G106" s="9"/>
      <c r="H106" s="9"/>
      <c r="I106" s="17"/>
      <c r="J106" s="17"/>
    </row>
    <row r="107" spans="1:10" ht="15" x14ac:dyDescent="0.25">
      <c r="A107" s="17"/>
      <c r="B107" s="293" t="s">
        <v>141</v>
      </c>
      <c r="C107" s="158"/>
      <c r="D107" s="17"/>
      <c r="E107" s="151" t="s">
        <v>22</v>
      </c>
      <c r="F107" s="17"/>
      <c r="G107" s="9"/>
      <c r="H107" s="9"/>
      <c r="I107" s="17"/>
      <c r="J107" s="17"/>
    </row>
    <row r="108" spans="1:10" ht="15" x14ac:dyDescent="0.25">
      <c r="A108" s="17"/>
      <c r="B108" s="299" t="s">
        <v>142</v>
      </c>
      <c r="C108" s="140"/>
      <c r="D108" s="17"/>
      <c r="E108" s="704" t="s">
        <v>46</v>
      </c>
      <c r="F108" s="17"/>
      <c r="G108" s="9"/>
      <c r="H108" s="9"/>
      <c r="I108" s="17"/>
      <c r="J108" s="17"/>
    </row>
    <row r="109" spans="1:10" ht="15" x14ac:dyDescent="0.25">
      <c r="A109" s="17"/>
      <c r="B109" s="299" t="s">
        <v>143</v>
      </c>
      <c r="C109" s="140"/>
      <c r="D109" s="17"/>
      <c r="E109" s="704" t="s">
        <v>27</v>
      </c>
      <c r="F109" s="17"/>
      <c r="G109" s="9"/>
      <c r="H109" s="9"/>
      <c r="I109" s="17"/>
      <c r="J109" s="17"/>
    </row>
    <row r="110" spans="1:10" ht="15" x14ac:dyDescent="0.25">
      <c r="A110" s="17"/>
      <c r="B110" s="299" t="s">
        <v>144</v>
      </c>
      <c r="C110" s="140"/>
      <c r="D110" s="17"/>
      <c r="E110" s="704" t="s">
        <v>46</v>
      </c>
      <c r="F110" s="17"/>
      <c r="G110" s="9"/>
      <c r="H110" s="9"/>
      <c r="I110" s="17"/>
      <c r="J110" s="17"/>
    </row>
    <row r="111" spans="1:10" ht="15" x14ac:dyDescent="0.25">
      <c r="A111" s="17"/>
      <c r="B111" s="299" t="s">
        <v>145</v>
      </c>
      <c r="C111" s="140"/>
      <c r="D111" s="17"/>
      <c r="E111" s="704" t="s">
        <v>27</v>
      </c>
      <c r="F111" s="17"/>
      <c r="G111" s="9"/>
      <c r="H111" s="9"/>
      <c r="I111" s="17"/>
      <c r="J111" s="17"/>
    </row>
    <row r="112" spans="1:10" ht="15" x14ac:dyDescent="0.25">
      <c r="A112" s="17"/>
      <c r="B112" s="299" t="s">
        <v>146</v>
      </c>
      <c r="C112" s="140"/>
      <c r="D112" s="17"/>
      <c r="E112" s="704" t="s">
        <v>73</v>
      </c>
      <c r="F112" s="299" t="s">
        <v>151</v>
      </c>
      <c r="G112" s="140"/>
      <c r="H112" s="9"/>
      <c r="I112" s="17">
        <v>421.10664020447899</v>
      </c>
      <c r="J112" s="17"/>
    </row>
    <row r="113" spans="1:10" ht="15" x14ac:dyDescent="0.25">
      <c r="A113" s="17"/>
      <c r="B113" s="299" t="s">
        <v>147</v>
      </c>
      <c r="C113" s="140"/>
      <c r="D113" s="17"/>
      <c r="E113" s="704" t="s">
        <v>148</v>
      </c>
      <c r="F113" s="299" t="s">
        <v>152</v>
      </c>
      <c r="G113" s="140"/>
      <c r="H113" s="9"/>
      <c r="I113" s="17">
        <v>0</v>
      </c>
      <c r="J113" s="17"/>
    </row>
    <row r="114" spans="1:10" ht="15" x14ac:dyDescent="0.25">
      <c r="A114" s="17"/>
      <c r="B114" s="299" t="s">
        <v>149</v>
      </c>
      <c r="C114" s="140"/>
      <c r="D114" s="17"/>
      <c r="E114" s="704" t="s">
        <v>150</v>
      </c>
      <c r="F114" s="17"/>
      <c r="G114" s="9"/>
      <c r="H114" s="9"/>
      <c r="I114" s="17"/>
      <c r="J114" s="17"/>
    </row>
    <row r="115" spans="1:10" ht="15" x14ac:dyDescent="0.25">
      <c r="A115" s="17"/>
      <c r="B115" s="299" t="s">
        <v>151</v>
      </c>
      <c r="C115" s="140"/>
      <c r="D115" s="17"/>
      <c r="E115" s="704" t="s">
        <v>48</v>
      </c>
      <c r="F115" s="17"/>
      <c r="G115" s="9"/>
      <c r="H115" s="9"/>
      <c r="I115" s="17"/>
      <c r="J115" s="17"/>
    </row>
    <row r="116" spans="1:10" ht="15" x14ac:dyDescent="0.25">
      <c r="A116" s="17"/>
      <c r="B116" s="299" t="s">
        <v>152</v>
      </c>
      <c r="C116" s="140"/>
      <c r="D116" s="17"/>
      <c r="E116" s="704" t="s">
        <v>48</v>
      </c>
      <c r="F116" s="17"/>
      <c r="G116" s="9"/>
      <c r="H116" s="9"/>
      <c r="I116" s="17"/>
      <c r="J116" s="17"/>
    </row>
    <row r="117" spans="1:10" ht="15" x14ac:dyDescent="0.25">
      <c r="A117" s="17"/>
      <c r="B117" s="299" t="s">
        <v>153</v>
      </c>
      <c r="C117" s="140"/>
      <c r="D117" s="17"/>
      <c r="E117" s="704" t="s">
        <v>48</v>
      </c>
      <c r="F117" s="17"/>
      <c r="G117" s="9"/>
      <c r="H117" s="9"/>
      <c r="I117" s="17"/>
      <c r="J117" s="17"/>
    </row>
    <row r="118" spans="1:10" ht="15" x14ac:dyDescent="0.25">
      <c r="A118" s="17"/>
      <c r="B118" s="306" t="s">
        <v>154</v>
      </c>
      <c r="C118" s="710"/>
      <c r="D118" s="17"/>
      <c r="E118" s="704" t="s">
        <v>155</v>
      </c>
      <c r="F118" s="17"/>
      <c r="G118" s="9"/>
      <c r="H118" s="9"/>
      <c r="I118" s="17"/>
      <c r="J118" s="17"/>
    </row>
    <row r="119" spans="1:10" ht="15" x14ac:dyDescent="0.25">
      <c r="A119" s="17"/>
      <c r="B119" s="306" t="s">
        <v>156</v>
      </c>
      <c r="C119" s="710"/>
      <c r="D119" s="17"/>
      <c r="E119" s="704" t="s">
        <v>157</v>
      </c>
      <c r="F119" s="17"/>
      <c r="G119" s="9"/>
      <c r="H119" s="9"/>
      <c r="I119" s="17"/>
      <c r="J119" s="17"/>
    </row>
    <row r="120" spans="1:10" ht="15" x14ac:dyDescent="0.25">
      <c r="A120" s="17"/>
      <c r="B120" s="299" t="s">
        <v>158</v>
      </c>
      <c r="C120" s="140"/>
      <c r="D120" s="17"/>
      <c r="E120" s="704"/>
      <c r="F120" s="17"/>
      <c r="G120" s="9"/>
      <c r="H120" s="9"/>
      <c r="I120" s="17"/>
      <c r="J120" s="17"/>
    </row>
    <row r="121" spans="1:10" ht="15" x14ac:dyDescent="0.25">
      <c r="A121" s="9"/>
      <c r="B121" s="308" t="s">
        <v>159</v>
      </c>
      <c r="C121" s="711"/>
      <c r="D121" s="17"/>
      <c r="E121" s="706" t="s">
        <v>160</v>
      </c>
      <c r="F121" s="9"/>
      <c r="G121" s="9"/>
      <c r="H121" s="9"/>
      <c r="I121" s="17"/>
      <c r="J121" s="17"/>
    </row>
    <row r="122" spans="1:10" x14ac:dyDescent="0.2">
      <c r="A122" s="9"/>
      <c r="B122" s="9"/>
      <c r="C122" s="9"/>
      <c r="D122" s="9"/>
      <c r="E122" s="9"/>
      <c r="F122" s="9"/>
      <c r="G122" s="9"/>
      <c r="H122" s="9"/>
      <c r="I122" s="17"/>
      <c r="J122" s="17"/>
    </row>
    <row r="123" spans="1:10" x14ac:dyDescent="0.2">
      <c r="A123" s="9"/>
      <c r="B123" s="9"/>
      <c r="C123" s="9"/>
      <c r="D123" s="9"/>
      <c r="E123" s="9"/>
      <c r="F123" s="9"/>
      <c r="G123" s="9"/>
      <c r="H123" s="9"/>
      <c r="I123" s="17"/>
      <c r="J123" s="17"/>
    </row>
    <row r="124" spans="1:10" x14ac:dyDescent="0.2">
      <c r="A124" s="9"/>
      <c r="B124" s="9"/>
      <c r="C124" s="9"/>
      <c r="D124" s="9"/>
      <c r="E124" s="9"/>
      <c r="F124" s="9"/>
    </row>
    <row r="125" spans="1:10" x14ac:dyDescent="0.2">
      <c r="A125" s="9" t="s">
        <v>315</v>
      </c>
      <c r="B125" s="9"/>
      <c r="C125" s="9"/>
      <c r="D125" s="9"/>
      <c r="E125" s="9"/>
      <c r="F125" s="9"/>
    </row>
    <row r="126" spans="1:10" x14ac:dyDescent="0.2">
      <c r="A126" s="659" t="s">
        <v>112</v>
      </c>
      <c r="B126" s="659" t="s">
        <v>113</v>
      </c>
      <c r="C126" s="659" t="s">
        <v>316</v>
      </c>
      <c r="D126" s="659" t="s">
        <v>348</v>
      </c>
      <c r="E126" s="9"/>
      <c r="F126" s="9"/>
    </row>
    <row r="127" spans="1:10" x14ac:dyDescent="0.2">
      <c r="A127" s="281">
        <v>1</v>
      </c>
      <c r="B127" s="679" t="s">
        <v>320</v>
      </c>
      <c r="C127" s="281">
        <v>6</v>
      </c>
      <c r="D127" s="281">
        <v>20.16</v>
      </c>
      <c r="E127" s="659">
        <v>70.907586206896596</v>
      </c>
      <c r="F127" s="9"/>
    </row>
    <row r="128" spans="1:10" x14ac:dyDescent="0.2">
      <c r="A128" s="281">
        <v>2</v>
      </c>
      <c r="B128" s="659" t="s">
        <v>321</v>
      </c>
      <c r="C128" s="281">
        <v>4</v>
      </c>
      <c r="D128" s="281">
        <v>17.64</v>
      </c>
      <c r="E128" s="659">
        <v>41.362758620689704</v>
      </c>
      <c r="F128" s="9"/>
    </row>
    <row r="129" spans="1:6" x14ac:dyDescent="0.2">
      <c r="A129" s="281">
        <v>3</v>
      </c>
      <c r="B129" s="679" t="s">
        <v>117</v>
      </c>
      <c r="C129" s="281">
        <v>150</v>
      </c>
      <c r="D129" s="281">
        <v>36.119999999999997</v>
      </c>
      <c r="E129" s="659">
        <v>3176.06896551724</v>
      </c>
      <c r="F129" s="9"/>
    </row>
    <row r="130" spans="1:6" x14ac:dyDescent="0.2">
      <c r="A130" s="281">
        <v>4</v>
      </c>
      <c r="B130" s="679" t="s">
        <v>118</v>
      </c>
      <c r="C130" s="281">
        <v>35</v>
      </c>
      <c r="D130" s="281">
        <v>21.84</v>
      </c>
      <c r="E130" s="659">
        <v>448.09655172413801</v>
      </c>
      <c r="F130" s="9"/>
    </row>
    <row r="131" spans="1:6" x14ac:dyDescent="0.2">
      <c r="A131" s="281">
        <v>5</v>
      </c>
      <c r="B131" s="679" t="s">
        <v>120</v>
      </c>
      <c r="C131" s="281">
        <v>5</v>
      </c>
      <c r="D131" s="281">
        <v>13.44</v>
      </c>
      <c r="E131" s="659">
        <v>39.393103448275902</v>
      </c>
      <c r="F131" s="9"/>
    </row>
    <row r="132" spans="1:6" x14ac:dyDescent="0.2">
      <c r="A132" s="281">
        <v>6</v>
      </c>
      <c r="B132" s="679" t="s">
        <v>122</v>
      </c>
      <c r="C132" s="281">
        <v>0</v>
      </c>
      <c r="D132" s="281">
        <v>13.44</v>
      </c>
      <c r="E132" s="659">
        <v>0</v>
      </c>
      <c r="F132" s="9"/>
    </row>
    <row r="133" spans="1:6" x14ac:dyDescent="0.2">
      <c r="A133" s="281">
        <v>7</v>
      </c>
      <c r="B133" s="679" t="s">
        <v>327</v>
      </c>
      <c r="C133" s="281">
        <v>3</v>
      </c>
      <c r="D133" s="281">
        <v>11.76</v>
      </c>
      <c r="E133" s="659">
        <v>20.681379310344798</v>
      </c>
      <c r="F133" s="9"/>
    </row>
    <row r="134" spans="1:6" x14ac:dyDescent="0.2">
      <c r="A134" s="281">
        <v>8</v>
      </c>
      <c r="B134" s="679" t="s">
        <v>328</v>
      </c>
      <c r="C134" s="281">
        <v>0</v>
      </c>
      <c r="D134" s="281">
        <v>11.76</v>
      </c>
      <c r="E134" s="659">
        <v>0</v>
      </c>
      <c r="F134" s="9"/>
    </row>
    <row r="135" spans="1:6" x14ac:dyDescent="0.2">
      <c r="A135" s="9"/>
      <c r="B135" s="9"/>
      <c r="C135" s="9">
        <v>203</v>
      </c>
      <c r="D135" s="9"/>
      <c r="E135" s="9">
        <v>3796.51034482759</v>
      </c>
      <c r="F135" s="9"/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Button 1054">
              <controlPr defaultSize="0" autoPict="0" macro="Module5.Macro4">
                <anchor moveWithCells="1" sizeWithCells="1">
                  <from>
                    <xdr:col>26</xdr:col>
                    <xdr:colOff>85725</xdr:colOff>
                    <xdr:row>1</xdr:row>
                    <xdr:rowOff>123825</xdr:rowOff>
                  </from>
                  <to>
                    <xdr:col>27</xdr:col>
                    <xdr:colOff>647700</xdr:colOff>
                    <xdr:row>4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Button 1054">
              <controlPr defaultSize="0" print="0" autoFill="0" autoPict="0" macro="Module5.Macro4" altText="Button 1054">
                <anchor moveWithCells="1">
                  <from>
                    <xdr:col>26</xdr:col>
                    <xdr:colOff>85725</xdr:colOff>
                    <xdr:row>1</xdr:row>
                    <xdr:rowOff>123825</xdr:rowOff>
                  </from>
                  <to>
                    <xdr:col>27</xdr:col>
                    <xdr:colOff>647700</xdr:colOff>
                    <xdr:row>4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11.5703125" defaultRowHeight="12.75" customHeight="1" x14ac:dyDescent="0.2"/>
  <sheetData/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01" r:id="rId3" name="Button 2">
              <controlPr defaultSize="0" print="0" autoFill="0" autoPict="0" macro="Module6.Macro41">
                <anchor moveWithCells="1">
                  <from>
                    <xdr:col>5</xdr:col>
                    <xdr:colOff>295275</xdr:colOff>
                    <xdr:row>15</xdr:row>
                    <xdr:rowOff>47625</xdr:rowOff>
                  </from>
                  <to>
                    <xdr:col>6</xdr:col>
                    <xdr:colOff>361950</xdr:colOff>
                    <xdr:row>18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2" r:id="rId4" name="Button 4">
              <controlPr defaultSize="0" print="0" autoFill="0" autoPict="0" macro="Module6.Macro41">
                <anchor moveWithCells="1">
                  <from>
                    <xdr:col>5</xdr:col>
                    <xdr:colOff>333375</xdr:colOff>
                    <xdr:row>39</xdr:row>
                    <xdr:rowOff>57150</xdr:rowOff>
                  </from>
                  <to>
                    <xdr:col>6</xdr:col>
                    <xdr:colOff>485775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3" r:id="rId5" name="Button 6">
              <controlPr defaultSize="0" print="0" autoFill="0" autoPict="0" macro="Module6.Macro41">
                <anchor moveWithCells="1">
                  <from>
                    <xdr:col>5</xdr:col>
                    <xdr:colOff>180975</xdr:colOff>
                    <xdr:row>61</xdr:row>
                    <xdr:rowOff>142875</xdr:rowOff>
                  </from>
                  <to>
                    <xdr:col>6</xdr:col>
                    <xdr:colOff>466725</xdr:colOff>
                    <xdr:row>65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04" r:id="rId6" name="Button 8">
              <controlPr defaultSize="0" print="0" autoFill="0" autoPict="0" macro="Module6.Macro41">
                <anchor moveWithCells="1">
                  <from>
                    <xdr:col>5</xdr:col>
                    <xdr:colOff>409575</xdr:colOff>
                    <xdr:row>85</xdr:row>
                    <xdr:rowOff>152400</xdr:rowOff>
                  </from>
                  <to>
                    <xdr:col>6</xdr:col>
                    <xdr:colOff>790575</xdr:colOff>
                    <xdr:row>89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zoomScaleNormal="100" workbookViewId="0"/>
  </sheetViews>
  <sheetFormatPr defaultColWidth="11.5703125" defaultRowHeight="12.75" customHeight="1" x14ac:dyDescent="0.2"/>
  <sheetData/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4" r:id="rId3" name="Button 2">
              <controlPr defaultSize="0" autoPict="0" macro="Module5.Macro6">
                <anchor moveWithCells="1" sizeWithCells="1">
                  <from>
                    <xdr:col>5</xdr:col>
                    <xdr:colOff>371475</xdr:colOff>
                    <xdr:row>17</xdr:row>
                    <xdr:rowOff>9525</xdr:rowOff>
                  </from>
                  <to>
                    <xdr:col>6</xdr:col>
                    <xdr:colOff>685800</xdr:colOff>
                    <xdr:row>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4" name="Button 4">
              <controlPr defaultSize="0" autoPict="0" macro="Module5.Macro6">
                <anchor moveWithCells="1" sizeWithCells="1">
                  <from>
                    <xdr:col>5</xdr:col>
                    <xdr:colOff>561975</xdr:colOff>
                    <xdr:row>38</xdr:row>
                    <xdr:rowOff>133350</xdr:rowOff>
                  </from>
                  <to>
                    <xdr:col>6</xdr:col>
                    <xdr:colOff>800100</xdr:colOff>
                    <xdr:row>42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5" name="Button 6">
              <controlPr defaultSize="0" autoPict="0" macro="Module5.Macro6">
                <anchor moveWithCells="1" sizeWithCells="1">
                  <from>
                    <xdr:col>4</xdr:col>
                    <xdr:colOff>419100</xdr:colOff>
                    <xdr:row>62</xdr:row>
                    <xdr:rowOff>142875</xdr:rowOff>
                  </from>
                  <to>
                    <xdr:col>5</xdr:col>
                    <xdr:colOff>666750</xdr:colOff>
                    <xdr:row>66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1" r:id="rId6" name="Button 8">
              <controlPr defaultSize="0" autoPict="0" macro="Module5.Macro6">
                <anchor moveWithCells="1" sizeWithCells="1">
                  <from>
                    <xdr:col>5</xdr:col>
                    <xdr:colOff>142875</xdr:colOff>
                    <xdr:row>87</xdr:row>
                    <xdr:rowOff>123825</xdr:rowOff>
                  </from>
                  <to>
                    <xdr:col>6</xdr:col>
                    <xdr:colOff>381000</xdr:colOff>
                    <xdr:row>91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5" r:id="rId7" name="Button 2">
              <controlPr defaultSize="0" print="0" autoFill="0" autoPict="0" macro="Module5.Macro6" altText="OK">
                <anchor moveWithCells="1">
                  <from>
                    <xdr:col>5</xdr:col>
                    <xdr:colOff>371475</xdr:colOff>
                    <xdr:row>17</xdr:row>
                    <xdr:rowOff>9525</xdr:rowOff>
                  </from>
                  <to>
                    <xdr:col>6</xdr:col>
                    <xdr:colOff>685800</xdr:colOff>
                    <xdr:row>20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6" r:id="rId8" name="Button 4">
              <controlPr defaultSize="0" print="0" autoFill="0" autoPict="0" macro="Module5.Macro6" altText="OK">
                <anchor moveWithCells="1">
                  <from>
                    <xdr:col>5</xdr:col>
                    <xdr:colOff>561975</xdr:colOff>
                    <xdr:row>38</xdr:row>
                    <xdr:rowOff>133350</xdr:rowOff>
                  </from>
                  <to>
                    <xdr:col>6</xdr:col>
                    <xdr:colOff>800100</xdr:colOff>
                    <xdr:row>42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7" r:id="rId9" name="Button 6">
              <controlPr defaultSize="0" print="0" autoFill="0" autoPict="0" macro="Module5.Macro6" altText="OK">
                <anchor moveWithCells="1">
                  <from>
                    <xdr:col>4</xdr:col>
                    <xdr:colOff>419100</xdr:colOff>
                    <xdr:row>62</xdr:row>
                    <xdr:rowOff>142875</xdr:rowOff>
                  </from>
                  <to>
                    <xdr:col>5</xdr:col>
                    <xdr:colOff>666750</xdr:colOff>
                    <xdr:row>66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8" r:id="rId10" name="Button 8">
              <controlPr defaultSize="0" print="0" autoFill="0" autoPict="0" macro="Module5.Macro6" altText="OK">
                <anchor moveWithCells="1">
                  <from>
                    <xdr:col>5</xdr:col>
                    <xdr:colOff>142875</xdr:colOff>
                    <xdr:row>87</xdr:row>
                    <xdr:rowOff>123825</xdr:rowOff>
                  </from>
                  <to>
                    <xdr:col>6</xdr:col>
                    <xdr:colOff>381000</xdr:colOff>
                    <xdr:row>91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O1282"/>
  <sheetViews>
    <sheetView zoomScaleNormal="100" workbookViewId="0"/>
  </sheetViews>
  <sheetFormatPr defaultColWidth="11.5703125" defaultRowHeight="12.75" customHeight="1" x14ac:dyDescent="0.2"/>
  <sheetData>
    <row r="1" spans="2:41" ht="18.75" x14ac:dyDescent="0.3">
      <c r="B1" s="13" t="s">
        <v>4</v>
      </c>
      <c r="C1" s="14"/>
      <c r="D1" s="15"/>
      <c r="E1" s="16"/>
      <c r="J1" s="17"/>
      <c r="K1" s="17"/>
      <c r="L1" s="17"/>
      <c r="M1" s="18" t="s">
        <v>5</v>
      </c>
      <c r="N1" s="9"/>
      <c r="O1" s="9"/>
      <c r="P1" s="9"/>
      <c r="Q1" s="9"/>
      <c r="R1" s="17"/>
      <c r="S1" s="17"/>
      <c r="X1" s="17"/>
      <c r="Y1" s="17"/>
      <c r="Z1" s="17"/>
      <c r="AA1" s="17"/>
      <c r="AB1" s="19"/>
      <c r="AC1" s="19"/>
      <c r="AD1" s="19"/>
      <c r="AE1" s="19"/>
      <c r="AF1" s="17"/>
      <c r="AG1" s="17"/>
      <c r="AH1" s="17"/>
      <c r="AI1" s="17"/>
      <c r="AJ1" s="17"/>
      <c r="AK1" s="17"/>
      <c r="AL1" s="19"/>
      <c r="AM1" s="19"/>
      <c r="AN1" s="19"/>
      <c r="AO1" s="19"/>
    </row>
    <row r="2" spans="2:41" ht="18.75" x14ac:dyDescent="0.3">
      <c r="B2" s="20" t="s">
        <v>6</v>
      </c>
      <c r="C2" s="21"/>
      <c r="D2" s="22">
        <v>5.875</v>
      </c>
      <c r="E2" s="23" t="s">
        <v>7</v>
      </c>
      <c r="J2" s="17"/>
      <c r="K2" s="24" t="s">
        <v>8</v>
      </c>
      <c r="L2" s="25" t="s">
        <v>9</v>
      </c>
      <c r="M2" s="26" t="s">
        <v>10</v>
      </c>
      <c r="N2" s="27" t="s">
        <v>11</v>
      </c>
      <c r="O2" s="28" t="s">
        <v>12</v>
      </c>
      <c r="P2" s="28" t="s">
        <v>13</v>
      </c>
      <c r="Q2" s="28" t="s">
        <v>14</v>
      </c>
      <c r="R2" s="17"/>
      <c r="S2" s="17"/>
      <c r="X2" s="17"/>
      <c r="Y2" s="17"/>
      <c r="Z2" s="17"/>
      <c r="AA2" s="29" t="s">
        <v>15</v>
      </c>
      <c r="AB2" s="17"/>
      <c r="AC2" s="17"/>
      <c r="AD2" s="17"/>
      <c r="AE2" s="19"/>
      <c r="AF2" s="17"/>
      <c r="AG2" s="17"/>
      <c r="AH2" s="17"/>
      <c r="AI2" s="17"/>
      <c r="AJ2" s="17"/>
      <c r="AK2" s="17"/>
      <c r="AL2" s="19"/>
      <c r="AM2" s="19"/>
      <c r="AN2" s="19"/>
      <c r="AO2" s="19"/>
    </row>
    <row r="3" spans="2:41" ht="18.75" x14ac:dyDescent="0.3">
      <c r="B3" s="30" t="s">
        <v>16</v>
      </c>
      <c r="C3" s="31"/>
      <c r="D3" s="32">
        <v>14580</v>
      </c>
      <c r="E3" s="33" t="str">
        <f>IF([1]MOH!$C$7="FIELD","ft","m")</f>
        <v>ft</v>
      </c>
      <c r="J3" s="17"/>
      <c r="K3" s="34">
        <v>600</v>
      </c>
      <c r="L3" s="35">
        <v>53</v>
      </c>
      <c r="M3" s="34">
        <v>1021.92</v>
      </c>
      <c r="N3" s="36">
        <v>270.3</v>
      </c>
      <c r="O3" s="37">
        <v>284.59192484342401</v>
      </c>
      <c r="P3" s="37">
        <v>209.963772052574</v>
      </c>
      <c r="Q3" s="38">
        <v>244.05075695249801</v>
      </c>
      <c r="R3" s="17"/>
      <c r="S3" s="17"/>
      <c r="X3" s="17"/>
      <c r="Y3" s="39" t="s">
        <v>17</v>
      </c>
      <c r="Z3" s="40"/>
      <c r="AA3" s="40"/>
      <c r="AB3" s="40"/>
      <c r="AC3" s="41"/>
      <c r="AD3" s="41"/>
      <c r="AE3" s="19"/>
      <c r="AF3" s="17"/>
      <c r="AG3" s="17"/>
      <c r="AH3" s="17"/>
      <c r="AI3" s="17"/>
      <c r="AJ3" s="17"/>
      <c r="AK3" s="17"/>
      <c r="AL3" s="19"/>
      <c r="AM3" s="19"/>
      <c r="AN3" s="19"/>
      <c r="AO3" s="19"/>
    </row>
    <row r="4" spans="2:41" ht="18.75" x14ac:dyDescent="0.3">
      <c r="B4" s="30" t="s">
        <v>18</v>
      </c>
      <c r="C4" s="31"/>
      <c r="D4" s="32">
        <v>14585</v>
      </c>
      <c r="E4" s="33" t="str">
        <f>IF([1]MOH!$C$7="FIELD","ft","m")</f>
        <v>ft</v>
      </c>
      <c r="J4" s="17"/>
      <c r="K4" s="42">
        <v>300</v>
      </c>
      <c r="L4" s="43">
        <v>32</v>
      </c>
      <c r="M4" s="42">
        <v>510.96</v>
      </c>
      <c r="N4" s="44">
        <v>163.19999999999999</v>
      </c>
      <c r="O4" s="45">
        <v>170.34596242171199</v>
      </c>
      <c r="P4" s="45">
        <v>163.19999999999999</v>
      </c>
      <c r="Q4" s="46">
        <v>163.19999999999999</v>
      </c>
      <c r="R4" s="17"/>
      <c r="S4" s="17"/>
      <c r="X4" s="17"/>
      <c r="Y4" s="47" t="s">
        <v>19</v>
      </c>
      <c r="Z4" s="48"/>
      <c r="AA4" s="49" t="s">
        <v>14</v>
      </c>
      <c r="AB4" s="50" t="s">
        <v>12</v>
      </c>
      <c r="AC4" s="50" t="s">
        <v>13</v>
      </c>
      <c r="AD4" s="51"/>
      <c r="AE4" s="19"/>
      <c r="AF4" s="17"/>
      <c r="AG4" s="17"/>
      <c r="AH4" s="17"/>
      <c r="AI4" s="17"/>
      <c r="AJ4" s="17"/>
      <c r="AK4" s="17"/>
      <c r="AL4" s="19"/>
      <c r="AM4" s="19"/>
      <c r="AN4" s="19"/>
      <c r="AO4" s="19"/>
    </row>
    <row r="5" spans="2:41" ht="15" x14ac:dyDescent="0.25">
      <c r="J5" s="17"/>
      <c r="K5" s="42" t="s">
        <v>20</v>
      </c>
      <c r="L5" s="43">
        <v>25</v>
      </c>
      <c r="M5" s="42">
        <v>340.64</v>
      </c>
      <c r="N5" s="44">
        <v>127.5</v>
      </c>
      <c r="O5" s="45">
        <v>132.26397494780801</v>
      </c>
      <c r="P5" s="45">
        <v>140.83516072702099</v>
      </c>
      <c r="Q5" s="46">
        <v>130.484250612945</v>
      </c>
      <c r="R5" s="17"/>
      <c r="S5" s="17"/>
      <c r="X5" s="17"/>
      <c r="Y5" s="48" t="s">
        <v>21</v>
      </c>
      <c r="Z5" s="48"/>
      <c r="AA5" s="52">
        <v>7581.6</v>
      </c>
      <c r="AB5" s="52">
        <v>7581.6</v>
      </c>
      <c r="AC5" s="52">
        <v>7581.6</v>
      </c>
      <c r="AD5" s="53" t="s">
        <v>22</v>
      </c>
      <c r="AE5" s="19"/>
      <c r="AF5" s="17"/>
      <c r="AG5" s="17"/>
      <c r="AH5" s="17"/>
      <c r="AI5" s="17"/>
      <c r="AJ5" s="17"/>
      <c r="AK5" s="17"/>
      <c r="AL5" s="19"/>
      <c r="AM5" s="19"/>
      <c r="AN5" s="19"/>
      <c r="AO5" s="19"/>
    </row>
    <row r="6" spans="2:41" ht="15" x14ac:dyDescent="0.25">
      <c r="J6" s="17"/>
      <c r="K6" s="42" t="s">
        <v>23</v>
      </c>
      <c r="L6" s="43">
        <v>17</v>
      </c>
      <c r="M6" s="42">
        <v>170.32</v>
      </c>
      <c r="N6" s="44">
        <v>86.7</v>
      </c>
      <c r="O6" s="45">
        <v>94.181987473904002</v>
      </c>
      <c r="P6" s="45">
        <v>109.467923946873</v>
      </c>
      <c r="Q6" s="46">
        <v>91.350469690589506</v>
      </c>
      <c r="R6" s="17"/>
      <c r="S6" s="17"/>
      <c r="X6" s="17"/>
      <c r="Y6" s="48" t="s">
        <v>24</v>
      </c>
      <c r="Z6" s="48"/>
      <c r="AA6" s="52">
        <v>7788.2222138961197</v>
      </c>
      <c r="AB6" s="52">
        <v>7913.9757597996204</v>
      </c>
      <c r="AC6" s="52">
        <v>7858.6169191693698</v>
      </c>
      <c r="AD6" s="53" t="s">
        <v>22</v>
      </c>
      <c r="AE6" s="19"/>
      <c r="AF6" s="17"/>
      <c r="AG6" s="17"/>
      <c r="AH6" s="17"/>
      <c r="AI6" s="17"/>
      <c r="AJ6" s="17"/>
      <c r="AK6" s="17"/>
      <c r="AL6" s="19"/>
      <c r="AM6" s="19"/>
      <c r="AN6" s="19"/>
      <c r="AO6" s="19"/>
    </row>
    <row r="7" spans="2:41" ht="15" x14ac:dyDescent="0.25">
      <c r="B7" s="54"/>
      <c r="J7" s="17"/>
      <c r="K7" s="42" t="s">
        <v>25</v>
      </c>
      <c r="L7" s="43">
        <v>7</v>
      </c>
      <c r="M7" s="42">
        <v>10.219200000000001</v>
      </c>
      <c r="N7" s="44">
        <v>35.700000000000003</v>
      </c>
      <c r="O7" s="45">
        <v>58.384919248434201</v>
      </c>
      <c r="P7" s="45">
        <v>39.368207259857698</v>
      </c>
      <c r="Q7" s="46">
        <v>34.461095394859001</v>
      </c>
      <c r="R7" s="17"/>
      <c r="S7" s="17"/>
      <c r="X7" s="17"/>
      <c r="Y7" s="48" t="s">
        <v>26</v>
      </c>
      <c r="Z7" s="48"/>
      <c r="AA7" s="52">
        <v>10.2725311463228</v>
      </c>
      <c r="AB7" s="52">
        <v>10.4383979104669</v>
      </c>
      <c r="AC7" s="52">
        <v>10.365380551822</v>
      </c>
      <c r="AD7" s="53" t="s">
        <v>27</v>
      </c>
      <c r="AE7" s="19"/>
      <c r="AF7" s="17"/>
      <c r="AG7" s="17"/>
      <c r="AH7" s="17"/>
      <c r="AI7" s="17"/>
      <c r="AJ7" s="17"/>
      <c r="AK7" s="17"/>
      <c r="AL7" s="19"/>
      <c r="AM7" s="19"/>
      <c r="AN7" s="19"/>
      <c r="AO7" s="19"/>
    </row>
    <row r="8" spans="2:41" ht="15" x14ac:dyDescent="0.25">
      <c r="C8" s="19"/>
      <c r="J8" s="17"/>
      <c r="K8" s="55" t="s">
        <v>28</v>
      </c>
      <c r="L8" s="56">
        <v>6</v>
      </c>
      <c r="M8" s="55">
        <v>5.1096000000000004</v>
      </c>
      <c r="N8" s="57">
        <v>30.6</v>
      </c>
      <c r="O8" s="58">
        <v>57.242459624217098</v>
      </c>
      <c r="P8" s="58">
        <v>30.6</v>
      </c>
      <c r="Q8" s="59">
        <v>30.6</v>
      </c>
      <c r="R8" s="17"/>
      <c r="S8" s="17"/>
      <c r="X8" s="17"/>
      <c r="Y8" s="48" t="s">
        <v>29</v>
      </c>
      <c r="Z8" s="48"/>
      <c r="AA8" s="52">
        <v>271.23530692112502</v>
      </c>
      <c r="AB8" s="52">
        <v>346.22035864811699</v>
      </c>
      <c r="AC8" s="52">
        <v>274.16555707250802</v>
      </c>
      <c r="AD8" s="53" t="s">
        <v>22</v>
      </c>
      <c r="AE8" s="19"/>
      <c r="AF8" s="17"/>
      <c r="AG8" s="17"/>
      <c r="AH8" s="17"/>
      <c r="AI8" s="17"/>
      <c r="AJ8" s="17"/>
      <c r="AK8" s="17"/>
      <c r="AL8" s="19"/>
      <c r="AM8" s="19"/>
      <c r="AN8" s="19"/>
      <c r="AO8" s="19"/>
    </row>
    <row r="9" spans="2:41" x14ac:dyDescent="0.2">
      <c r="B9" s="54"/>
      <c r="J9" s="17"/>
      <c r="K9" s="17"/>
      <c r="L9" s="17"/>
      <c r="M9" s="9"/>
      <c r="N9" s="60" t="s">
        <v>30</v>
      </c>
      <c r="O9" s="61">
        <v>0.99153396086619805</v>
      </c>
      <c r="P9" s="61">
        <v>0.92782961663727603</v>
      </c>
      <c r="Q9" s="61">
        <v>0.99209909592004497</v>
      </c>
      <c r="R9" s="17"/>
      <c r="S9" s="17"/>
      <c r="X9" s="17"/>
      <c r="Y9" s="48" t="s">
        <v>31</v>
      </c>
      <c r="Z9" s="48"/>
      <c r="AA9" s="52">
        <v>51.1990223214735</v>
      </c>
      <c r="AB9" s="52">
        <v>73.778932921213993</v>
      </c>
      <c r="AC9" s="52">
        <v>104.704141099705</v>
      </c>
      <c r="AD9" s="53" t="s">
        <v>22</v>
      </c>
      <c r="AE9" s="19"/>
      <c r="AF9" s="17"/>
      <c r="AG9" s="17"/>
      <c r="AH9" s="17"/>
      <c r="AI9" s="17"/>
      <c r="AJ9" s="17"/>
      <c r="AK9" s="17"/>
      <c r="AL9" s="19"/>
      <c r="AM9" s="19"/>
      <c r="AN9" s="19"/>
      <c r="AO9" s="19"/>
    </row>
    <row r="10" spans="2:41" x14ac:dyDescent="0.2">
      <c r="J10" s="17"/>
      <c r="K10" s="17"/>
      <c r="L10" s="17"/>
      <c r="M10" s="9"/>
      <c r="N10" s="9"/>
      <c r="O10" s="9"/>
      <c r="P10" s="9"/>
      <c r="Q10" s="9"/>
      <c r="R10" s="17"/>
      <c r="S10" s="17"/>
      <c r="X10" s="17"/>
      <c r="Y10" s="48" t="s">
        <v>32</v>
      </c>
      <c r="Z10" s="48"/>
      <c r="AA10" s="52">
        <v>401.69696069542402</v>
      </c>
      <c r="AB10" s="52">
        <v>456.609027126961</v>
      </c>
      <c r="AC10" s="52">
        <v>455.16700618802901</v>
      </c>
      <c r="AD10" s="53" t="s">
        <v>22</v>
      </c>
      <c r="AE10" s="19"/>
      <c r="AF10" s="17"/>
      <c r="AG10" s="17"/>
      <c r="AH10" s="17"/>
      <c r="AI10" s="17"/>
      <c r="AJ10" s="17"/>
      <c r="AK10" s="17"/>
      <c r="AL10" s="19"/>
      <c r="AM10" s="19"/>
      <c r="AN10" s="19"/>
      <c r="AO10" s="19"/>
    </row>
    <row r="11" spans="2:41" ht="18.75" x14ac:dyDescent="0.3">
      <c r="B11" s="62" t="s">
        <v>33</v>
      </c>
      <c r="C11" s="63"/>
      <c r="D11" s="64"/>
      <c r="E11" s="65"/>
      <c r="J11" s="17"/>
      <c r="K11" s="17"/>
      <c r="L11" s="17"/>
      <c r="M11" s="17" t="s">
        <v>34</v>
      </c>
      <c r="N11" s="66" t="s">
        <v>14</v>
      </c>
      <c r="O11" s="9"/>
      <c r="P11" s="9"/>
      <c r="Q11" s="9"/>
      <c r="R11" s="17"/>
      <c r="S11" s="17"/>
      <c r="X11" s="17"/>
      <c r="Y11" s="48" t="s">
        <v>35</v>
      </c>
      <c r="Z11" s="48"/>
      <c r="AA11" s="52">
        <v>36.449635258820201</v>
      </c>
      <c r="AB11" s="52">
        <v>49.120741006599502</v>
      </c>
      <c r="AC11" s="52">
        <v>30.4002741932565</v>
      </c>
      <c r="AD11" s="53" t="s">
        <v>22</v>
      </c>
      <c r="AE11" s="19"/>
      <c r="AF11" s="17"/>
      <c r="AG11" s="17"/>
      <c r="AH11" s="17"/>
      <c r="AI11" s="17"/>
      <c r="AJ11" s="17"/>
      <c r="AK11" s="17"/>
      <c r="AL11" s="19"/>
      <c r="AM11" s="19"/>
      <c r="AN11" s="19"/>
      <c r="AO11" s="19"/>
    </row>
    <row r="12" spans="2:41" ht="18.75" x14ac:dyDescent="0.3">
      <c r="B12" s="20" t="s">
        <v>36</v>
      </c>
      <c r="C12" s="67"/>
      <c r="D12" s="68">
        <v>11230</v>
      </c>
      <c r="E12" s="69" t="str">
        <f>IF([1]MOH!$C$7="FIELD","ft","m")</f>
        <v>ft</v>
      </c>
      <c r="J12" s="17"/>
      <c r="K12" s="17"/>
      <c r="L12" s="17"/>
      <c r="M12" s="9"/>
      <c r="N12" s="9"/>
      <c r="O12" s="9"/>
      <c r="P12" s="9"/>
      <c r="Q12" s="9"/>
      <c r="R12" s="17"/>
      <c r="S12" s="17"/>
      <c r="X12" s="17"/>
      <c r="Y12" s="48" t="s">
        <v>37</v>
      </c>
      <c r="Z12" s="48"/>
      <c r="AA12" s="52">
        <v>118.97355631582499</v>
      </c>
      <c r="AB12" s="52">
        <v>209.47608587180599</v>
      </c>
      <c r="AC12" s="52">
        <v>141.91250387640599</v>
      </c>
      <c r="AD12" s="53" t="s">
        <v>22</v>
      </c>
      <c r="AE12" s="19"/>
      <c r="AF12" s="17"/>
      <c r="AG12" s="17"/>
      <c r="AH12" s="17"/>
      <c r="AI12" s="17"/>
      <c r="AJ12" s="17"/>
      <c r="AK12" s="17"/>
      <c r="AL12" s="19"/>
      <c r="AM12" s="19"/>
      <c r="AN12" s="19"/>
      <c r="AO12" s="19"/>
    </row>
    <row r="13" spans="2:41" ht="18.75" x14ac:dyDescent="0.3">
      <c r="B13" s="30" t="s">
        <v>38</v>
      </c>
      <c r="C13" s="70"/>
      <c r="D13" s="71">
        <v>8.85</v>
      </c>
      <c r="E13" s="72" t="str">
        <f>IF([1]MOH!$C$7="FIELD","in","m")</f>
        <v>in</v>
      </c>
      <c r="J13" s="17"/>
      <c r="K13" s="17"/>
      <c r="L13" s="17"/>
      <c r="M13" s="9"/>
      <c r="N13" s="9"/>
      <c r="O13" s="9"/>
      <c r="P13" s="9"/>
      <c r="Q13" s="9"/>
      <c r="R13" s="17"/>
      <c r="S13" s="17"/>
      <c r="X13" s="17"/>
      <c r="Y13" s="48" t="s">
        <v>39</v>
      </c>
      <c r="Z13" s="48"/>
      <c r="AA13" s="52">
        <v>779.98227605840304</v>
      </c>
      <c r="AB13" s="52">
        <v>1006.6913555096399</v>
      </c>
      <c r="AC13" s="52">
        <v>892.42312592840506</v>
      </c>
      <c r="AD13" s="53" t="s">
        <v>22</v>
      </c>
      <c r="AE13" s="19"/>
      <c r="AF13" s="17"/>
      <c r="AG13" s="17"/>
      <c r="AH13" s="17"/>
      <c r="AI13" s="17"/>
      <c r="AJ13" s="17"/>
      <c r="AK13" s="17"/>
      <c r="AL13" s="19"/>
      <c r="AM13" s="19"/>
      <c r="AN13" s="19"/>
      <c r="AO13" s="19"/>
    </row>
    <row r="14" spans="2:41" ht="18.75" x14ac:dyDescent="0.3">
      <c r="B14" s="73" t="s">
        <v>40</v>
      </c>
      <c r="C14" s="74"/>
      <c r="D14" s="75">
        <v>9.6300000000000008</v>
      </c>
      <c r="E14" s="76" t="str">
        <f>IF([1]MOH!$C$7="FIELD","in","m")</f>
        <v>in</v>
      </c>
      <c r="J14" s="17"/>
      <c r="K14" s="17"/>
      <c r="L14" s="17"/>
      <c r="M14" s="18" t="s">
        <v>41</v>
      </c>
      <c r="N14" s="9"/>
      <c r="O14" s="9">
        <v>14580</v>
      </c>
      <c r="P14" s="9" t="s">
        <v>42</v>
      </c>
      <c r="Q14" s="9"/>
      <c r="R14" s="17"/>
      <c r="S14" s="17"/>
      <c r="X14" s="17"/>
      <c r="Y14" s="48" t="s">
        <v>43</v>
      </c>
      <c r="Z14" s="48"/>
      <c r="AA14" s="52">
        <v>1659.53675757107</v>
      </c>
      <c r="AB14" s="52">
        <v>2141.8965010843399</v>
      </c>
      <c r="AC14" s="52">
        <v>1898.77260835831</v>
      </c>
      <c r="AD14" s="53" t="s">
        <v>22</v>
      </c>
      <c r="AE14" s="19"/>
      <c r="AF14" s="17"/>
      <c r="AG14" s="17"/>
      <c r="AH14" s="17"/>
      <c r="AI14" s="17"/>
      <c r="AJ14" s="17"/>
      <c r="AK14" s="17"/>
      <c r="AL14" s="19"/>
      <c r="AM14" s="19"/>
      <c r="AN14" s="19"/>
      <c r="AO14" s="19"/>
    </row>
    <row r="15" spans="2:41" ht="18.75" x14ac:dyDescent="0.3">
      <c r="B15" s="77" t="s">
        <v>36</v>
      </c>
      <c r="C15" s="78"/>
      <c r="D15" s="79">
        <v>13795</v>
      </c>
      <c r="E15" s="80" t="s">
        <v>42</v>
      </c>
      <c r="J15" s="17"/>
      <c r="K15" s="81" t="s">
        <v>8</v>
      </c>
      <c r="L15" s="82" t="s">
        <v>44</v>
      </c>
      <c r="M15" s="26" t="s">
        <v>10</v>
      </c>
      <c r="N15" s="27" t="s">
        <v>11</v>
      </c>
      <c r="O15" s="28" t="s">
        <v>12</v>
      </c>
      <c r="P15" s="28" t="s">
        <v>13</v>
      </c>
      <c r="Q15" s="28" t="s">
        <v>14</v>
      </c>
      <c r="R15" s="17"/>
      <c r="S15" s="17"/>
      <c r="X15" s="17"/>
      <c r="Y15" s="48" t="s">
        <v>45</v>
      </c>
      <c r="Z15" s="48"/>
      <c r="AA15" s="83">
        <v>270.08367054985803</v>
      </c>
      <c r="AB15" s="83">
        <v>348.58599323671899</v>
      </c>
      <c r="AC15" s="83">
        <v>309.018449434964</v>
      </c>
      <c r="AD15" s="53" t="s">
        <v>46</v>
      </c>
      <c r="AE15" s="19"/>
      <c r="AF15" s="17"/>
      <c r="AG15" s="17"/>
      <c r="AH15" s="17"/>
      <c r="AI15" s="17"/>
      <c r="AJ15" s="17"/>
      <c r="AK15" s="17"/>
      <c r="AL15" s="19"/>
      <c r="AM15" s="19"/>
      <c r="AN15" s="19"/>
      <c r="AO15" s="19"/>
    </row>
    <row r="16" spans="2:41" ht="18.75" x14ac:dyDescent="0.3">
      <c r="B16" s="84" t="s">
        <v>47</v>
      </c>
      <c r="C16" s="85"/>
      <c r="D16" s="79">
        <v>6.27</v>
      </c>
      <c r="E16" s="86" t="s">
        <v>48</v>
      </c>
      <c r="J16" s="17"/>
      <c r="K16" s="34">
        <v>600</v>
      </c>
      <c r="L16" s="35">
        <v>46.605627056534502</v>
      </c>
      <c r="M16" s="36">
        <v>1021.92</v>
      </c>
      <c r="N16" s="36">
        <v>237.688697988326</v>
      </c>
      <c r="O16" s="37">
        <v>250.25632287837499</v>
      </c>
      <c r="P16" s="37">
        <v>184.63194822010399</v>
      </c>
      <c r="Q16" s="38">
        <v>214.606387950813</v>
      </c>
      <c r="R16" s="17"/>
      <c r="S16" s="17"/>
      <c r="X16" s="17"/>
      <c r="Y16" s="87" t="s">
        <v>49</v>
      </c>
      <c r="Z16" s="87"/>
      <c r="AA16" s="88">
        <f>[1]Sheet11!R112</f>
        <v>0.341935827809703</v>
      </c>
      <c r="AB16" s="89">
        <v>0.30098080932301302</v>
      </c>
      <c r="AC16" s="89">
        <v>0.31966976911199102</v>
      </c>
      <c r="AD16" s="90" t="s">
        <v>50</v>
      </c>
      <c r="AE16" s="19"/>
      <c r="AF16" s="17"/>
      <c r="AG16" s="17"/>
      <c r="AH16" s="17"/>
      <c r="AI16" s="17"/>
      <c r="AJ16" s="17"/>
      <c r="AK16" s="17"/>
      <c r="AL16" s="19"/>
      <c r="AM16" s="19"/>
      <c r="AN16" s="19"/>
      <c r="AO16" s="19"/>
    </row>
    <row r="17" spans="2:41" ht="18.75" x14ac:dyDescent="0.3">
      <c r="B17" s="91" t="s">
        <v>40</v>
      </c>
      <c r="C17" s="92"/>
      <c r="D17" s="93">
        <v>7</v>
      </c>
      <c r="E17" s="86" t="s">
        <v>48</v>
      </c>
      <c r="J17" s="17"/>
      <c r="K17" s="42">
        <v>300</v>
      </c>
      <c r="L17" s="43">
        <v>28.139246524700098</v>
      </c>
      <c r="M17" s="44">
        <v>510.96</v>
      </c>
      <c r="N17" s="44">
        <v>143.51015727596999</v>
      </c>
      <c r="O17" s="45">
        <v>149.79396972099499</v>
      </c>
      <c r="P17" s="45">
        <v>143.51015727596999</v>
      </c>
      <c r="Q17" s="46">
        <v>143.51015727596999</v>
      </c>
      <c r="R17" s="17"/>
      <c r="S17" s="17"/>
      <c r="X17" s="17"/>
      <c r="Y17" s="48" t="s">
        <v>51</v>
      </c>
      <c r="Z17" s="48" t="s">
        <v>52</v>
      </c>
      <c r="AA17" s="83">
        <v>12.190363769398701</v>
      </c>
      <c r="AB17" s="83">
        <v>11.437043269611801</v>
      </c>
      <c r="AC17" s="83">
        <v>11.7867791184149</v>
      </c>
      <c r="AD17" s="53" t="s">
        <v>53</v>
      </c>
      <c r="AE17" s="19"/>
      <c r="AF17" s="17"/>
      <c r="AG17" s="17"/>
      <c r="AH17" s="17"/>
      <c r="AI17" s="17"/>
      <c r="AJ17" s="17"/>
      <c r="AK17" s="17"/>
      <c r="AL17" s="19"/>
      <c r="AM17" s="19"/>
      <c r="AN17" s="19"/>
      <c r="AO17" s="19"/>
    </row>
    <row r="18" spans="2:41" ht="15" x14ac:dyDescent="0.25">
      <c r="J18" s="17"/>
      <c r="K18" s="42" t="s">
        <v>20</v>
      </c>
      <c r="L18" s="43">
        <v>21.983786347421901</v>
      </c>
      <c r="M18" s="44">
        <v>340.64</v>
      </c>
      <c r="N18" s="44">
        <v>112.117310371852</v>
      </c>
      <c r="O18" s="45">
        <v>116.30651866853501</v>
      </c>
      <c r="P18" s="45">
        <v>123.843603345107</v>
      </c>
      <c r="Q18" s="46">
        <v>114.741515487138</v>
      </c>
      <c r="R18" s="17"/>
      <c r="S18" s="17"/>
      <c r="X18" s="17"/>
      <c r="Y18" s="48"/>
      <c r="Z18" s="48" t="s">
        <v>54</v>
      </c>
      <c r="AA18" s="83">
        <v>12.190363769398701</v>
      </c>
      <c r="AB18" s="83">
        <v>11.437043269611801</v>
      </c>
      <c r="AC18" s="83">
        <v>11.7867791184149</v>
      </c>
      <c r="AD18" s="53" t="s">
        <v>53</v>
      </c>
      <c r="AE18" s="19"/>
      <c r="AF18" s="17"/>
      <c r="AG18" s="17"/>
      <c r="AH18" s="17"/>
      <c r="AI18" s="17"/>
      <c r="AJ18" s="17"/>
      <c r="AK18" s="17"/>
      <c r="AL18" s="19"/>
      <c r="AM18" s="19"/>
      <c r="AN18" s="19"/>
      <c r="AO18" s="19"/>
    </row>
    <row r="19" spans="2:41" ht="15" x14ac:dyDescent="0.25">
      <c r="J19" s="17"/>
      <c r="K19" s="42" t="s">
        <v>23</v>
      </c>
      <c r="L19" s="43">
        <v>14.9489747162469</v>
      </c>
      <c r="M19" s="44">
        <v>170.32</v>
      </c>
      <c r="N19" s="44">
        <v>76.239771052859197</v>
      </c>
      <c r="O19" s="45">
        <v>82.819067616074904</v>
      </c>
      <c r="P19" s="45">
        <v>96.260778077755901</v>
      </c>
      <c r="Q19" s="46">
        <v>80.329168336582399</v>
      </c>
      <c r="R19" s="17"/>
      <c r="S19" s="17"/>
      <c r="X19" s="17"/>
      <c r="Y19" s="48"/>
      <c r="Z19" s="48" t="s">
        <v>55</v>
      </c>
      <c r="AA19" s="83">
        <v>12.190363769398701</v>
      </c>
      <c r="AB19" s="83">
        <v>11.437043269611801</v>
      </c>
      <c r="AC19" s="83">
        <v>11.7867791184149</v>
      </c>
      <c r="AD19" s="53" t="s">
        <v>53</v>
      </c>
      <c r="AE19" s="19"/>
      <c r="AF19" s="17"/>
      <c r="AG19" s="17"/>
      <c r="AH19" s="17"/>
      <c r="AI19" s="17"/>
      <c r="AJ19" s="17"/>
      <c r="AK19" s="17"/>
      <c r="AL19" s="19"/>
      <c r="AM19" s="19"/>
      <c r="AN19" s="19"/>
      <c r="AO19" s="19"/>
    </row>
    <row r="20" spans="2:41" ht="15" x14ac:dyDescent="0.25">
      <c r="J20" s="17"/>
      <c r="K20" s="42" t="s">
        <v>25</v>
      </c>
      <c r="L20" s="43">
        <v>6.1554601772781403</v>
      </c>
      <c r="M20" s="44">
        <v>10.219200000000001</v>
      </c>
      <c r="N20" s="44">
        <v>31.3928469041185</v>
      </c>
      <c r="O20" s="45">
        <v>51.340863626762399</v>
      </c>
      <c r="P20" s="45">
        <v>34.618490291269403</v>
      </c>
      <c r="Q20" s="46">
        <v>30.303414338348201</v>
      </c>
      <c r="R20" s="17"/>
      <c r="S20" s="17"/>
      <c r="X20" s="17"/>
      <c r="Y20" s="48"/>
      <c r="Z20" s="48" t="s">
        <v>56</v>
      </c>
      <c r="AA20" s="83" t="s">
        <v>46</v>
      </c>
      <c r="AB20" s="83" t="s">
        <v>46</v>
      </c>
      <c r="AC20" s="83" t="s">
        <v>46</v>
      </c>
      <c r="AD20" s="53" t="s">
        <v>53</v>
      </c>
      <c r="AE20" s="19"/>
      <c r="AF20" s="17"/>
      <c r="AG20" s="17"/>
      <c r="AH20" s="17"/>
      <c r="AI20" s="17"/>
      <c r="AJ20" s="17"/>
      <c r="AK20" s="17"/>
      <c r="AL20" s="19"/>
      <c r="AM20" s="19"/>
      <c r="AN20" s="19"/>
      <c r="AO20" s="19"/>
    </row>
    <row r="21" spans="2:41" ht="15" x14ac:dyDescent="0.25">
      <c r="J21" s="17"/>
      <c r="K21" s="55" t="s">
        <v>28</v>
      </c>
      <c r="L21" s="56">
        <v>5.2761087233812596</v>
      </c>
      <c r="M21" s="57">
        <v>5.1096000000000004</v>
      </c>
      <c r="N21" s="57">
        <v>26.908154489244399</v>
      </c>
      <c r="O21" s="58">
        <v>50.3362400951886</v>
      </c>
      <c r="P21" s="58">
        <v>26.908154489244399</v>
      </c>
      <c r="Q21" s="59">
        <v>26.908154489244399</v>
      </c>
      <c r="R21" s="17"/>
      <c r="S21" s="17"/>
      <c r="X21" s="17"/>
      <c r="Y21" s="48"/>
      <c r="Z21" s="48" t="s">
        <v>57</v>
      </c>
      <c r="AA21" s="83" t="s">
        <v>46</v>
      </c>
      <c r="AB21" s="83" t="s">
        <v>46</v>
      </c>
      <c r="AC21" s="83" t="s">
        <v>46</v>
      </c>
      <c r="AD21" s="53" t="s">
        <v>53</v>
      </c>
      <c r="AE21" s="19"/>
      <c r="AF21" s="17"/>
      <c r="AG21" s="17"/>
      <c r="AH21" s="17"/>
      <c r="AI21" s="17"/>
      <c r="AJ21" s="17"/>
      <c r="AK21" s="17"/>
      <c r="AL21" s="19"/>
      <c r="AM21" s="19"/>
      <c r="AN21" s="19"/>
      <c r="AO21" s="19"/>
    </row>
    <row r="22" spans="2:41" x14ac:dyDescent="0.2">
      <c r="J22" s="17"/>
      <c r="K22" s="17"/>
      <c r="L22" s="17"/>
      <c r="M22" s="9"/>
      <c r="N22" s="60" t="s">
        <v>30</v>
      </c>
      <c r="O22" s="61">
        <v>0.99153396086619805</v>
      </c>
      <c r="P22" s="61">
        <v>0.92782961663727603</v>
      </c>
      <c r="Q22" s="61">
        <v>0.99209909592004497</v>
      </c>
      <c r="R22" s="17"/>
      <c r="S22" s="17"/>
      <c r="X22" s="17"/>
      <c r="Y22" s="48"/>
      <c r="Z22" s="48" t="s">
        <v>58</v>
      </c>
      <c r="AA22" s="83" t="s">
        <v>46</v>
      </c>
      <c r="AB22" s="83" t="s">
        <v>46</v>
      </c>
      <c r="AC22" s="83" t="s">
        <v>46</v>
      </c>
      <c r="AD22" s="53" t="s">
        <v>53</v>
      </c>
      <c r="AE22" s="19"/>
      <c r="AF22" s="17"/>
      <c r="AG22" s="17"/>
      <c r="AH22" s="17"/>
      <c r="AI22" s="17"/>
      <c r="AJ22" s="17"/>
      <c r="AK22" s="17"/>
      <c r="AL22" s="19"/>
      <c r="AM22" s="19"/>
      <c r="AN22" s="19"/>
      <c r="AO22" s="19"/>
    </row>
    <row r="23" spans="2:41" ht="18.75" x14ac:dyDescent="0.3">
      <c r="B23" s="94" t="s">
        <v>59</v>
      </c>
      <c r="C23" s="95"/>
      <c r="D23" s="95"/>
      <c r="E23" s="96"/>
      <c r="J23" s="17"/>
      <c r="K23" s="17"/>
      <c r="L23" s="17"/>
      <c r="M23" s="9"/>
      <c r="N23" s="9"/>
      <c r="O23" s="9"/>
      <c r="P23" s="9"/>
      <c r="Q23" s="9"/>
      <c r="R23" s="17"/>
      <c r="S23" s="17"/>
      <c r="X23" s="17"/>
      <c r="Y23" s="17"/>
      <c r="Z23" s="17"/>
      <c r="AA23" s="17"/>
      <c r="AB23" s="19"/>
      <c r="AC23" s="19"/>
      <c r="AD23" s="19"/>
      <c r="AE23" s="19"/>
      <c r="AF23" s="17"/>
      <c r="AG23" s="17"/>
      <c r="AH23" s="17"/>
      <c r="AI23" s="17"/>
      <c r="AJ23" s="17"/>
      <c r="AK23" s="17"/>
      <c r="AL23" s="19"/>
      <c r="AM23" s="19"/>
      <c r="AN23" s="19"/>
      <c r="AO23" s="19"/>
    </row>
    <row r="24" spans="2:41" ht="18.75" x14ac:dyDescent="0.3">
      <c r="B24" s="97" t="s">
        <v>60</v>
      </c>
      <c r="C24" s="98"/>
      <c r="D24" s="99">
        <v>5</v>
      </c>
      <c r="E24" s="100" t="str">
        <f>IF([1]MOH!$C$7="FIELD","in","m")</f>
        <v>in</v>
      </c>
      <c r="J24" s="17"/>
      <c r="K24" s="17"/>
      <c r="L24" s="17"/>
      <c r="M24" s="101" t="s">
        <v>34</v>
      </c>
      <c r="N24" s="102" t="s">
        <v>61</v>
      </c>
      <c r="O24" s="102"/>
      <c r="P24" s="9"/>
      <c r="Q24" s="9"/>
      <c r="R24" s="17"/>
      <c r="S24" s="17"/>
      <c r="X24" s="17"/>
      <c r="Y24" s="17"/>
      <c r="Z24" s="17"/>
      <c r="AA24" s="17"/>
      <c r="AB24" s="19"/>
      <c r="AC24" s="19"/>
      <c r="AD24" s="19"/>
      <c r="AE24" s="19"/>
      <c r="AF24" s="17"/>
      <c r="AG24" s="17"/>
      <c r="AH24" s="17"/>
      <c r="AI24" s="17"/>
      <c r="AJ24" s="17"/>
      <c r="AK24" s="17"/>
      <c r="AL24" s="19"/>
      <c r="AM24" s="19"/>
      <c r="AN24" s="19"/>
      <c r="AO24" s="19"/>
    </row>
    <row r="25" spans="2:41" ht="18.75" x14ac:dyDescent="0.3">
      <c r="B25" s="103" t="s">
        <v>62</v>
      </c>
      <c r="C25" s="104"/>
      <c r="D25" s="105">
        <v>4.2750000000000004</v>
      </c>
      <c r="E25" s="106" t="str">
        <f>IF([1]MOH!$C$7="FIELD","in","m")</f>
        <v>in</v>
      </c>
      <c r="J25" s="17"/>
      <c r="K25" s="17"/>
      <c r="L25" s="17"/>
      <c r="M25" s="17"/>
      <c r="N25" s="17"/>
      <c r="O25" s="17"/>
      <c r="P25" s="17"/>
      <c r="Q25" s="17"/>
      <c r="R25" s="17"/>
      <c r="S25" s="17"/>
      <c r="X25" s="17"/>
      <c r="Y25" s="17"/>
      <c r="Z25" s="17"/>
      <c r="AA25" s="17"/>
      <c r="AB25" s="19"/>
      <c r="AC25" s="19"/>
      <c r="AD25" s="19"/>
      <c r="AE25" s="19"/>
      <c r="AF25" s="17"/>
      <c r="AG25" s="17"/>
      <c r="AH25" s="17"/>
      <c r="AI25" s="17"/>
      <c r="AJ25" s="17"/>
      <c r="AK25" s="17"/>
      <c r="AL25" s="19"/>
      <c r="AM25" s="19"/>
      <c r="AN25" s="19"/>
      <c r="AO25" s="19"/>
    </row>
    <row r="26" spans="2:41" ht="18.75" x14ac:dyDescent="0.3">
      <c r="B26" s="107" t="s">
        <v>60</v>
      </c>
      <c r="C26" s="108"/>
      <c r="D26" s="79">
        <v>3.5</v>
      </c>
      <c r="E26" s="106" t="str">
        <f>IF([1]MOH!$C$7="FIELD","in","m")</f>
        <v>in</v>
      </c>
      <c r="J26" s="17"/>
      <c r="K26" s="17"/>
      <c r="L26" s="17"/>
      <c r="M26" s="17"/>
      <c r="N26" s="17"/>
      <c r="O26" s="17"/>
      <c r="P26" s="17"/>
      <c r="Q26" s="17"/>
      <c r="R26" s="17"/>
      <c r="S26" s="17"/>
      <c r="X26" s="17"/>
      <c r="Y26" s="17"/>
      <c r="Z26" s="17"/>
      <c r="AA26" s="17"/>
      <c r="AB26" s="19"/>
      <c r="AC26" s="19"/>
      <c r="AD26" s="19"/>
      <c r="AE26" s="19"/>
      <c r="AF26" s="17"/>
      <c r="AG26" s="17"/>
      <c r="AH26" s="17"/>
      <c r="AI26" s="17"/>
      <c r="AJ26" s="17"/>
      <c r="AK26" s="17"/>
      <c r="AL26" s="19"/>
      <c r="AM26" s="19"/>
      <c r="AN26" s="19"/>
      <c r="AO26" s="19"/>
    </row>
    <row r="27" spans="2:41" ht="18.75" x14ac:dyDescent="0.3">
      <c r="B27" s="84" t="s">
        <v>62</v>
      </c>
      <c r="C27" s="109"/>
      <c r="D27" s="93">
        <v>2.76</v>
      </c>
      <c r="E27" s="106" t="str">
        <f>IF([1]MOH!$C$7="FIELD","in","m")</f>
        <v>in</v>
      </c>
      <c r="J27" s="17"/>
      <c r="K27" s="17"/>
      <c r="L27" s="17"/>
      <c r="M27" s="17"/>
      <c r="N27" s="17"/>
      <c r="O27" s="17"/>
      <c r="P27" s="17"/>
      <c r="Q27" s="17"/>
      <c r="R27" s="17"/>
      <c r="S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9"/>
      <c r="AM27" s="19"/>
      <c r="AN27" s="19"/>
      <c r="AO27" s="19"/>
    </row>
    <row r="28" spans="2:41" x14ac:dyDescent="0.2"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9"/>
      <c r="AM28" s="19"/>
      <c r="AN28" s="19"/>
      <c r="AO28" s="19"/>
    </row>
    <row r="29" spans="2:41" x14ac:dyDescent="0.2"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9"/>
      <c r="AM29" s="19"/>
      <c r="AN29" s="19"/>
      <c r="AO29" s="19"/>
    </row>
    <row r="30" spans="2:41" ht="14.25" x14ac:dyDescent="0.2">
      <c r="K30" s="17"/>
      <c r="L30" s="17"/>
      <c r="M30" s="17"/>
      <c r="N30" s="110" t="s">
        <v>63</v>
      </c>
      <c r="O30" s="111"/>
      <c r="P30" s="111"/>
      <c r="Q30" s="112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9"/>
      <c r="AM30" s="19"/>
      <c r="AN30" s="19"/>
      <c r="AO30" s="19"/>
    </row>
    <row r="31" spans="2:41" ht="15" x14ac:dyDescent="0.25">
      <c r="K31" s="17"/>
      <c r="L31" s="17"/>
      <c r="M31" s="17"/>
      <c r="N31" s="113" t="s">
        <v>64</v>
      </c>
      <c r="O31" s="51"/>
      <c r="P31" s="114" t="s">
        <v>61</v>
      </c>
      <c r="Q31" s="115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9"/>
      <c r="AM31" s="19"/>
      <c r="AN31" s="19"/>
      <c r="AO31" s="19"/>
    </row>
    <row r="32" spans="2:41" ht="14.25" x14ac:dyDescent="0.2">
      <c r="K32" s="17"/>
      <c r="L32" s="17"/>
      <c r="M32" s="17"/>
      <c r="N32" s="116" t="s">
        <v>65</v>
      </c>
      <c r="O32" s="117"/>
      <c r="P32" s="118"/>
      <c r="Q32" s="119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9"/>
      <c r="AM32" s="19"/>
      <c r="AN32" s="19"/>
      <c r="AO32" s="19"/>
    </row>
    <row r="33" spans="2:41" ht="15" x14ac:dyDescent="0.25">
      <c r="K33" s="17"/>
      <c r="L33" s="17"/>
      <c r="M33" s="17"/>
      <c r="N33" s="120" t="s">
        <v>66</v>
      </c>
      <c r="O33" s="117"/>
      <c r="P33" s="121">
        <v>21.060467320830199</v>
      </c>
      <c r="Q33" s="122" t="s">
        <v>67</v>
      </c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9"/>
      <c r="AM33" s="19"/>
      <c r="AN33" s="19"/>
      <c r="AO33" s="19"/>
    </row>
    <row r="34" spans="2:41" ht="18.75" x14ac:dyDescent="0.3">
      <c r="B34" s="94"/>
      <c r="C34" s="123"/>
      <c r="D34" s="124" t="s">
        <v>68</v>
      </c>
      <c r="E34" s="125"/>
      <c r="F34" s="126"/>
      <c r="K34" s="17"/>
      <c r="L34" s="17"/>
      <c r="M34" s="17"/>
      <c r="N34" s="120" t="s">
        <v>69</v>
      </c>
      <c r="O34" s="117"/>
      <c r="P34" s="127">
        <v>0.66048677927133104</v>
      </c>
      <c r="Q34" s="122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9"/>
      <c r="AM34" s="19"/>
      <c r="AN34" s="19"/>
      <c r="AO34" s="19"/>
    </row>
    <row r="35" spans="2:41" ht="15" x14ac:dyDescent="0.25">
      <c r="B35" s="128" t="s">
        <v>70</v>
      </c>
      <c r="C35" s="129" t="str">
        <f>IF([1]MOH!$C$7="FIELD","Length/ft","Length/m")</f>
        <v>Length/ft</v>
      </c>
      <c r="D35" s="129" t="str">
        <f>IF([1]MOH!$C$7="FIELD","I.D./in","I.D./m")</f>
        <v>I.D./in</v>
      </c>
      <c r="E35" s="129" t="str">
        <f>IF([1]MOH!$C$7="FIELD","O.D./in","O.D./m")</f>
        <v>O.D./in</v>
      </c>
      <c r="F35" s="130" t="s">
        <v>71</v>
      </c>
      <c r="K35" s="17"/>
      <c r="L35" s="17"/>
      <c r="M35" s="17"/>
      <c r="N35" s="131" t="s">
        <v>72</v>
      </c>
      <c r="O35" s="132"/>
      <c r="P35" s="133">
        <v>199.11498579646801</v>
      </c>
      <c r="Q35" s="134" t="s">
        <v>73</v>
      </c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9"/>
      <c r="AM35" s="19"/>
      <c r="AN35" s="19"/>
      <c r="AO35" s="19"/>
    </row>
    <row r="36" spans="2:41" ht="15" x14ac:dyDescent="0.25">
      <c r="B36" s="135">
        <v>1</v>
      </c>
      <c r="C36" s="136">
        <v>2</v>
      </c>
      <c r="D36" s="137">
        <v>2.25</v>
      </c>
      <c r="E36" s="137">
        <v>4.75</v>
      </c>
      <c r="F36" s="138" t="s">
        <v>74</v>
      </c>
      <c r="K36" s="17"/>
      <c r="L36" s="17"/>
      <c r="M36" s="17"/>
      <c r="N36" s="139" t="s">
        <v>75</v>
      </c>
      <c r="O36" s="140"/>
      <c r="P36" s="141"/>
      <c r="Q36" s="122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9"/>
      <c r="AM36" s="19"/>
      <c r="AN36" s="19"/>
      <c r="AO36" s="19"/>
    </row>
    <row r="37" spans="2:41" ht="15" x14ac:dyDescent="0.25">
      <c r="B37" s="142">
        <v>2</v>
      </c>
      <c r="C37" s="143">
        <v>6</v>
      </c>
      <c r="D37" s="137">
        <v>2.25</v>
      </c>
      <c r="E37" s="137">
        <v>4.75</v>
      </c>
      <c r="F37" s="144" t="s">
        <v>76</v>
      </c>
      <c r="K37" s="17"/>
      <c r="L37" s="17"/>
      <c r="M37" s="17"/>
      <c r="N37" s="120" t="s">
        <v>77</v>
      </c>
      <c r="O37" s="117"/>
      <c r="P37" s="121">
        <v>20.318305890877799</v>
      </c>
      <c r="Q37" s="122" t="s">
        <v>73</v>
      </c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9"/>
      <c r="AM37" s="19"/>
      <c r="AN37" s="19"/>
      <c r="AO37" s="19"/>
    </row>
    <row r="38" spans="2:41" ht="15" x14ac:dyDescent="0.25">
      <c r="B38" s="142">
        <v>3</v>
      </c>
      <c r="C38" s="143">
        <v>364</v>
      </c>
      <c r="D38" s="137">
        <v>2.25</v>
      </c>
      <c r="E38" s="137">
        <v>4.75</v>
      </c>
      <c r="F38" s="144" t="s">
        <v>78</v>
      </c>
      <c r="K38" s="17"/>
      <c r="L38" s="17"/>
      <c r="M38" s="17"/>
      <c r="N38" s="145" t="s">
        <v>79</v>
      </c>
      <c r="O38" s="146"/>
      <c r="P38" s="147">
        <v>41.034660598534899</v>
      </c>
      <c r="Q38" s="134" t="s">
        <v>73</v>
      </c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9"/>
      <c r="AM38" s="19"/>
      <c r="AN38" s="19"/>
      <c r="AO38" s="19"/>
    </row>
    <row r="39" spans="2:41" x14ac:dyDescent="0.2">
      <c r="B39" s="142">
        <v>4</v>
      </c>
      <c r="C39" s="143">
        <v>2</v>
      </c>
      <c r="D39" s="137">
        <v>2.25</v>
      </c>
      <c r="E39" s="137">
        <v>4.75</v>
      </c>
      <c r="F39" s="144" t="s">
        <v>80</v>
      </c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9"/>
      <c r="AM39" s="19"/>
      <c r="AN39" s="19"/>
      <c r="AO39" s="19"/>
    </row>
    <row r="40" spans="2:41" ht="14.25" x14ac:dyDescent="0.2">
      <c r="B40" s="142">
        <v>5</v>
      </c>
      <c r="C40" s="143">
        <v>148</v>
      </c>
      <c r="D40" s="137">
        <v>2.25</v>
      </c>
      <c r="E40" s="137">
        <v>4.75</v>
      </c>
      <c r="F40" s="144" t="s">
        <v>78</v>
      </c>
      <c r="K40" s="110" t="s">
        <v>63</v>
      </c>
      <c r="L40" s="111"/>
      <c r="M40" s="111"/>
      <c r="N40" s="148"/>
      <c r="O40" s="17"/>
      <c r="P40" s="39" t="s">
        <v>63</v>
      </c>
      <c r="Q40" s="149"/>
      <c r="R40" s="149"/>
      <c r="S40" s="148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9"/>
      <c r="AM40" s="19"/>
      <c r="AN40" s="19"/>
      <c r="AO40" s="19"/>
    </row>
    <row r="41" spans="2:41" ht="15" x14ac:dyDescent="0.25">
      <c r="B41" s="142">
        <v>6</v>
      </c>
      <c r="C41" s="143">
        <v>2</v>
      </c>
      <c r="D41" s="137">
        <v>2.25</v>
      </c>
      <c r="E41" s="137">
        <v>4.75</v>
      </c>
      <c r="F41" s="144" t="s">
        <v>81</v>
      </c>
      <c r="K41" s="113" t="s">
        <v>64</v>
      </c>
      <c r="L41" s="51"/>
      <c r="M41" s="150" t="s">
        <v>12</v>
      </c>
      <c r="N41" s="151"/>
      <c r="O41" s="17"/>
      <c r="P41" s="113" t="s">
        <v>64</v>
      </c>
      <c r="Q41" s="51"/>
      <c r="R41" s="152" t="s">
        <v>13</v>
      </c>
      <c r="S41" s="153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9"/>
      <c r="AM41" s="19"/>
      <c r="AN41" s="19"/>
      <c r="AO41" s="19"/>
    </row>
    <row r="42" spans="2:41" ht="15" x14ac:dyDescent="0.25">
      <c r="B42" s="142">
        <v>7</v>
      </c>
      <c r="C42" s="143">
        <v>2</v>
      </c>
      <c r="D42" s="137">
        <v>2.25</v>
      </c>
      <c r="E42" s="137">
        <v>4.75</v>
      </c>
      <c r="F42" s="144" t="s">
        <v>78</v>
      </c>
      <c r="K42" s="116" t="s">
        <v>65</v>
      </c>
      <c r="L42" s="117"/>
      <c r="M42" s="141"/>
      <c r="N42" s="154"/>
      <c r="O42" s="17"/>
      <c r="P42" s="116" t="s">
        <v>65</v>
      </c>
      <c r="Q42" s="117"/>
      <c r="R42" s="155"/>
      <c r="S42" s="156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9"/>
      <c r="AM42" s="19"/>
      <c r="AN42" s="19"/>
      <c r="AO42" s="19"/>
    </row>
    <row r="43" spans="2:41" ht="15" x14ac:dyDescent="0.25">
      <c r="B43" s="142">
        <v>8</v>
      </c>
      <c r="C43" s="143">
        <v>2</v>
      </c>
      <c r="D43" s="137">
        <v>2.25</v>
      </c>
      <c r="E43" s="137">
        <v>4.75</v>
      </c>
      <c r="F43" s="144" t="s">
        <v>82</v>
      </c>
      <c r="K43" s="120" t="s">
        <v>83</v>
      </c>
      <c r="L43" s="117"/>
      <c r="M43" s="121">
        <v>18.4663805318344</v>
      </c>
      <c r="N43" s="154" t="s">
        <v>73</v>
      </c>
      <c r="O43" s="17"/>
      <c r="P43" s="120" t="s">
        <v>69</v>
      </c>
      <c r="Q43" s="117"/>
      <c r="R43" s="127">
        <v>0.36349936396813098</v>
      </c>
      <c r="S43" s="154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9"/>
      <c r="AM43" s="19"/>
      <c r="AN43" s="19"/>
      <c r="AO43" s="19"/>
    </row>
    <row r="44" spans="2:41" ht="15" x14ac:dyDescent="0.25">
      <c r="B44" s="142">
        <v>9</v>
      </c>
      <c r="C44" s="143">
        <v>2</v>
      </c>
      <c r="D44" s="137">
        <v>2.25</v>
      </c>
      <c r="E44" s="137">
        <v>4.75</v>
      </c>
      <c r="F44" s="144" t="s">
        <v>78</v>
      </c>
      <c r="K44" s="145" t="s">
        <v>84</v>
      </c>
      <c r="L44" s="146"/>
      <c r="M44" s="147">
        <v>9.6728659928656509</v>
      </c>
      <c r="N44" s="154" t="s">
        <v>67</v>
      </c>
      <c r="O44" s="17"/>
      <c r="P44" s="120" t="s">
        <v>72</v>
      </c>
      <c r="Q44" s="117"/>
      <c r="R44" s="147">
        <v>1487.25597963772</v>
      </c>
      <c r="S44" s="154" t="s">
        <v>73</v>
      </c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9"/>
      <c r="AM44" s="19"/>
      <c r="AN44" s="19"/>
      <c r="AO44" s="19"/>
    </row>
    <row r="45" spans="2:41" ht="15" x14ac:dyDescent="0.25">
      <c r="B45" s="142">
        <v>10</v>
      </c>
      <c r="C45" s="143">
        <v>176</v>
      </c>
      <c r="D45" s="137">
        <v>2.25</v>
      </c>
      <c r="E45" s="137">
        <v>4.75</v>
      </c>
      <c r="F45" s="144" t="s">
        <v>85</v>
      </c>
      <c r="K45" s="157" t="s">
        <v>75</v>
      </c>
      <c r="L45" s="158"/>
      <c r="M45" s="159"/>
      <c r="N45" s="154"/>
      <c r="O45" s="17"/>
      <c r="P45" s="157" t="s">
        <v>75</v>
      </c>
      <c r="Q45" s="158"/>
      <c r="R45" s="159"/>
      <c r="S45" s="154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9"/>
      <c r="AM45" s="19"/>
      <c r="AN45" s="19"/>
      <c r="AO45" s="19"/>
    </row>
    <row r="46" spans="2:41" ht="15" x14ac:dyDescent="0.25">
      <c r="B46" s="160">
        <v>11</v>
      </c>
      <c r="C46" s="161">
        <v>6</v>
      </c>
      <c r="D46" s="137">
        <v>2.25</v>
      </c>
      <c r="E46" s="137">
        <v>4.75</v>
      </c>
      <c r="F46" s="162" t="s">
        <v>86</v>
      </c>
      <c r="K46" s="120" t="s">
        <v>77</v>
      </c>
      <c r="L46" s="117"/>
      <c r="M46" s="121">
        <v>26.6490995419108</v>
      </c>
      <c r="N46" s="154" t="s">
        <v>73</v>
      </c>
      <c r="O46" s="17"/>
      <c r="P46" s="120" t="s">
        <v>77</v>
      </c>
      <c r="Q46" s="117"/>
      <c r="R46" s="121">
        <v>19.999992932573001</v>
      </c>
      <c r="S46" s="154" t="s">
        <v>73</v>
      </c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9"/>
      <c r="AM46" s="19"/>
      <c r="AN46" s="19"/>
      <c r="AO46" s="19"/>
    </row>
    <row r="47" spans="2:41" ht="15" x14ac:dyDescent="0.25">
      <c r="K47" s="145" t="s">
        <v>79</v>
      </c>
      <c r="L47" s="146"/>
      <c r="M47" s="147">
        <v>64.961064172849504</v>
      </c>
      <c r="N47" s="163" t="s">
        <v>73</v>
      </c>
      <c r="O47" s="17"/>
      <c r="P47" s="145" t="s">
        <v>79</v>
      </c>
      <c r="Q47" s="146"/>
      <c r="R47" s="147">
        <v>75.525796375686795</v>
      </c>
      <c r="S47" s="163" t="s">
        <v>73</v>
      </c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9"/>
      <c r="AM47" s="19"/>
      <c r="AN47" s="19"/>
      <c r="AO47" s="19"/>
    </row>
    <row r="48" spans="2:41" x14ac:dyDescent="0.2"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9"/>
      <c r="AM48" s="19"/>
      <c r="AN48" s="19"/>
      <c r="AO48" s="19"/>
    </row>
    <row r="49" spans="2:41" x14ac:dyDescent="0.2"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9"/>
      <c r="AM49" s="19"/>
      <c r="AN49" s="19"/>
      <c r="AO49" s="19"/>
    </row>
    <row r="50" spans="2:41" x14ac:dyDescent="0.2"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9"/>
      <c r="AM50" s="19"/>
      <c r="AN50" s="19"/>
      <c r="AO50" s="19"/>
    </row>
    <row r="51" spans="2:41" x14ac:dyDescent="0.2"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9"/>
      <c r="AM51" s="19"/>
      <c r="AN51" s="19"/>
      <c r="AO51" s="19"/>
    </row>
    <row r="52" spans="2:41" x14ac:dyDescent="0.2"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9"/>
      <c r="AM52" s="19"/>
      <c r="AN52" s="19"/>
      <c r="AO52" s="19"/>
    </row>
    <row r="53" spans="2:41" ht="18.75" x14ac:dyDescent="0.3">
      <c r="B53" s="164" t="s">
        <v>87</v>
      </c>
      <c r="C53" s="165"/>
      <c r="D53" s="96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9"/>
      <c r="AM53" s="19"/>
      <c r="AN53" s="19"/>
      <c r="AO53" s="19"/>
    </row>
    <row r="54" spans="2:41" ht="15" x14ac:dyDescent="0.25">
      <c r="B54" s="166" t="s">
        <v>88</v>
      </c>
      <c r="C54" s="167">
        <v>6</v>
      </c>
      <c r="D54" s="168" t="str">
        <f>IF([1]MOH!$C$7="FIELD","in","m")</f>
        <v>in</v>
      </c>
      <c r="J54" s="17"/>
      <c r="K54" s="17"/>
      <c r="L54" s="17"/>
      <c r="M54" s="29" t="s">
        <v>89</v>
      </c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9"/>
      <c r="AM54" s="19"/>
      <c r="AN54" s="19"/>
      <c r="AO54" s="19"/>
    </row>
    <row r="55" spans="2:41" ht="15" x14ac:dyDescent="0.25">
      <c r="B55" s="169" t="s">
        <v>90</v>
      </c>
      <c r="C55" s="170">
        <v>3</v>
      </c>
      <c r="D55" s="171" t="s">
        <v>46</v>
      </c>
      <c r="J55" s="17"/>
      <c r="K55" s="39" t="s">
        <v>17</v>
      </c>
      <c r="L55" s="40"/>
      <c r="M55" s="40"/>
      <c r="N55" s="40"/>
      <c r="O55" s="41"/>
      <c r="P55" s="41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9"/>
      <c r="AM55" s="19"/>
      <c r="AN55" s="19"/>
      <c r="AO55" s="19"/>
    </row>
    <row r="56" spans="2:41" ht="15" x14ac:dyDescent="0.25">
      <c r="B56" s="172"/>
      <c r="C56" s="173"/>
      <c r="D56" s="174"/>
      <c r="J56" s="17"/>
      <c r="K56" s="47" t="s">
        <v>19</v>
      </c>
      <c r="L56" s="48"/>
      <c r="M56" s="175" t="s">
        <v>14</v>
      </c>
      <c r="N56" s="176" t="s">
        <v>12</v>
      </c>
      <c r="O56" s="176" t="s">
        <v>13</v>
      </c>
      <c r="P56" s="17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9"/>
      <c r="AM56" s="19"/>
      <c r="AN56" s="19"/>
      <c r="AO56" s="19"/>
    </row>
    <row r="57" spans="2:41" x14ac:dyDescent="0.2">
      <c r="J57" s="17"/>
      <c r="K57" s="48" t="s">
        <v>21</v>
      </c>
      <c r="L57" s="48"/>
      <c r="M57" s="178">
        <v>7581.6</v>
      </c>
      <c r="N57" s="178">
        <v>7581.6</v>
      </c>
      <c r="O57" s="178">
        <v>7581.6</v>
      </c>
      <c r="P57" s="53" t="s">
        <v>22</v>
      </c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9"/>
      <c r="AM57" s="19"/>
      <c r="AN57" s="19"/>
      <c r="AO57" s="19"/>
    </row>
    <row r="58" spans="2:41" x14ac:dyDescent="0.2">
      <c r="J58" s="17"/>
      <c r="K58" s="48" t="s">
        <v>24</v>
      </c>
      <c r="L58" s="48"/>
      <c r="M58" s="178">
        <v>7788.2222138961197</v>
      </c>
      <c r="N58" s="178">
        <v>7913.9757597996204</v>
      </c>
      <c r="O58" s="178">
        <v>7858.6169191693698</v>
      </c>
      <c r="P58" s="53" t="s">
        <v>22</v>
      </c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9"/>
      <c r="AM58" s="19"/>
      <c r="AN58" s="19"/>
      <c r="AO58" s="19"/>
    </row>
    <row r="59" spans="2:41" x14ac:dyDescent="0.2">
      <c r="J59" s="17"/>
      <c r="K59" s="48" t="s">
        <v>26</v>
      </c>
      <c r="L59" s="48"/>
      <c r="M59" s="178">
        <v>10.2725311463228</v>
      </c>
      <c r="N59" s="178">
        <v>10.4383979104669</v>
      </c>
      <c r="O59" s="178">
        <v>10.365380551822</v>
      </c>
      <c r="P59" s="53" t="s">
        <v>27</v>
      </c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9"/>
      <c r="AM59" s="19"/>
      <c r="AN59" s="19"/>
      <c r="AO59" s="19"/>
    </row>
    <row r="60" spans="2:41" x14ac:dyDescent="0.2">
      <c r="J60" s="17"/>
      <c r="K60" s="48" t="s">
        <v>29</v>
      </c>
      <c r="L60" s="48"/>
      <c r="M60" s="178">
        <v>271.23530692112502</v>
      </c>
      <c r="N60" s="178">
        <v>346.22035864811699</v>
      </c>
      <c r="O60" s="178">
        <v>274.16555707250802</v>
      </c>
      <c r="P60" s="53" t="s">
        <v>22</v>
      </c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9"/>
      <c r="AM60" s="19"/>
      <c r="AN60" s="19"/>
      <c r="AO60" s="19"/>
    </row>
    <row r="61" spans="2:41" x14ac:dyDescent="0.2">
      <c r="J61" s="17"/>
      <c r="K61" s="48" t="s">
        <v>31</v>
      </c>
      <c r="L61" s="48"/>
      <c r="M61" s="178">
        <v>51.1990223214735</v>
      </c>
      <c r="N61" s="178">
        <v>73.778932921213993</v>
      </c>
      <c r="O61" s="178">
        <v>104.704141099705</v>
      </c>
      <c r="P61" s="53" t="s">
        <v>22</v>
      </c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9"/>
      <c r="AM61" s="19"/>
      <c r="AN61" s="19"/>
      <c r="AO61" s="19"/>
    </row>
    <row r="62" spans="2:41" ht="18.75" x14ac:dyDescent="0.3">
      <c r="B62" s="179" t="s">
        <v>91</v>
      </c>
      <c r="C62" s="180"/>
      <c r="D62" s="181"/>
      <c r="E62" s="182"/>
      <c r="J62" s="17"/>
      <c r="K62" s="48" t="s">
        <v>32</v>
      </c>
      <c r="L62" s="48"/>
      <c r="M62" s="178">
        <v>401.69696069542402</v>
      </c>
      <c r="N62" s="178">
        <v>456.609027126961</v>
      </c>
      <c r="O62" s="178">
        <v>455.16700618802901</v>
      </c>
      <c r="P62" s="53" t="s">
        <v>22</v>
      </c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9"/>
      <c r="AM62" s="19"/>
      <c r="AN62" s="19"/>
      <c r="AO62" s="19"/>
    </row>
    <row r="63" spans="2:41" ht="15.75" x14ac:dyDescent="0.25">
      <c r="B63" s="183" t="s">
        <v>92</v>
      </c>
      <c r="C63" s="184"/>
      <c r="D63" s="185">
        <v>265</v>
      </c>
      <c r="E63" s="186" t="str">
        <f>IF([1]MOH!$C$7="FIELD","gpm","m^3/s")</f>
        <v>gpm</v>
      </c>
      <c r="J63" s="17"/>
      <c r="K63" s="48" t="s">
        <v>35</v>
      </c>
      <c r="L63" s="48"/>
      <c r="M63" s="178">
        <v>36.449635258820201</v>
      </c>
      <c r="N63" s="178">
        <v>49.120741006599502</v>
      </c>
      <c r="O63" s="178">
        <v>30.4002741932565</v>
      </c>
      <c r="P63" s="53" t="s">
        <v>22</v>
      </c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9"/>
      <c r="AM63" s="19"/>
      <c r="AN63" s="19"/>
      <c r="AO63" s="19"/>
    </row>
    <row r="64" spans="2:41" ht="15" x14ac:dyDescent="0.25">
      <c r="B64" s="187" t="s">
        <v>93</v>
      </c>
      <c r="C64" s="87"/>
      <c r="D64" s="188">
        <v>0.95</v>
      </c>
      <c r="E64" s="189" t="s">
        <v>46</v>
      </c>
      <c r="J64" s="17"/>
      <c r="K64" s="48" t="s">
        <v>37</v>
      </c>
      <c r="L64" s="48"/>
      <c r="M64" s="178">
        <v>88.985460561653895</v>
      </c>
      <c r="N64" s="178">
        <v>209.47608587180599</v>
      </c>
      <c r="O64" s="178">
        <v>141.91250387640599</v>
      </c>
      <c r="P64" s="53" t="s">
        <v>22</v>
      </c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9"/>
      <c r="AM64" s="19"/>
      <c r="AN64" s="19"/>
      <c r="AO64" s="19"/>
    </row>
    <row r="65" spans="2:41" x14ac:dyDescent="0.2">
      <c r="J65" s="17"/>
      <c r="K65" s="48" t="s">
        <v>39</v>
      </c>
      <c r="L65" s="48"/>
      <c r="M65" s="178">
        <v>1319.331722269</v>
      </c>
      <c r="N65" s="178">
        <v>1702.8077183620501</v>
      </c>
      <c r="O65" s="178">
        <v>1509.5242236448501</v>
      </c>
      <c r="P65" s="53" t="s">
        <v>22</v>
      </c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9"/>
      <c r="AM65" s="19"/>
      <c r="AN65" s="19"/>
      <c r="AO65" s="19"/>
    </row>
    <row r="66" spans="2:41" x14ac:dyDescent="0.2">
      <c r="J66" s="17"/>
      <c r="K66" s="48" t="s">
        <v>43</v>
      </c>
      <c r="L66" s="48"/>
      <c r="M66" s="178">
        <v>2198.8862037816698</v>
      </c>
      <c r="N66" s="178">
        <v>2838.0128639367399</v>
      </c>
      <c r="O66" s="178">
        <v>2515.8737060747599</v>
      </c>
      <c r="P66" s="53" t="s">
        <v>22</v>
      </c>
      <c r="Q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9"/>
      <c r="AM66" s="19"/>
      <c r="AN66" s="19"/>
      <c r="AO66" s="19"/>
    </row>
    <row r="67" spans="2:41" x14ac:dyDescent="0.2">
      <c r="J67" s="17"/>
      <c r="K67" s="48" t="s">
        <v>45</v>
      </c>
      <c r="L67" s="48"/>
      <c r="M67" s="190">
        <v>357.86086347856201</v>
      </c>
      <c r="N67" s="190">
        <v>461.87644103865199</v>
      </c>
      <c r="O67" s="190">
        <v>409.44944550132698</v>
      </c>
      <c r="P67" s="53" t="s">
        <v>46</v>
      </c>
      <c r="Q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9"/>
      <c r="AM67" s="19"/>
      <c r="AN67" s="19"/>
      <c r="AO67" s="19"/>
    </row>
    <row r="68" spans="2:41" x14ac:dyDescent="0.2">
      <c r="J68" s="17"/>
      <c r="K68" s="87" t="s">
        <v>49</v>
      </c>
      <c r="L68" s="87"/>
      <c r="M68" s="191">
        <f>[1]Sheet11!O112</f>
        <v>0.26291173605540702</v>
      </c>
      <c r="N68" s="191">
        <f>[1]Sheet12!O59</f>
        <v>0.23142174835950099</v>
      </c>
      <c r="O68" s="191">
        <f>[1]Sheet13!P59</f>
        <v>0.24579154076956899</v>
      </c>
      <c r="P68" s="90" t="s">
        <v>50</v>
      </c>
      <c r="Q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9"/>
      <c r="AM68" s="19"/>
      <c r="AN68" s="19"/>
      <c r="AO68" s="19"/>
    </row>
    <row r="69" spans="2:41" x14ac:dyDescent="0.2">
      <c r="J69" s="17"/>
      <c r="K69" s="48" t="s">
        <v>51</v>
      </c>
      <c r="L69" s="48" t="s">
        <v>52</v>
      </c>
      <c r="M69" s="190">
        <v>10.6893020154706</v>
      </c>
      <c r="N69" s="190">
        <v>10.0287417164513</v>
      </c>
      <c r="O69" s="190">
        <v>10.335412803894901</v>
      </c>
      <c r="P69" s="53" t="s">
        <v>53</v>
      </c>
      <c r="Q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9"/>
      <c r="AM69" s="19"/>
      <c r="AN69" s="19"/>
      <c r="AO69" s="19"/>
    </row>
    <row r="70" spans="2:41" x14ac:dyDescent="0.2">
      <c r="J70" s="17"/>
      <c r="K70" s="48"/>
      <c r="L70" s="48" t="s">
        <v>54</v>
      </c>
      <c r="M70" s="190">
        <v>10.6893020154706</v>
      </c>
      <c r="N70" s="190">
        <v>10.0287417164513</v>
      </c>
      <c r="O70" s="190">
        <v>10.335412803894901</v>
      </c>
      <c r="P70" s="53" t="s">
        <v>53</v>
      </c>
      <c r="Q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9"/>
      <c r="AM70" s="19"/>
      <c r="AN70" s="19"/>
      <c r="AO70" s="19"/>
    </row>
    <row r="71" spans="2:41" ht="18.75" x14ac:dyDescent="0.3">
      <c r="B71" s="94" t="s">
        <v>94</v>
      </c>
      <c r="C71" s="63"/>
      <c r="D71" s="192"/>
      <c r="J71" s="17"/>
      <c r="K71" s="48"/>
      <c r="L71" s="48" t="s">
        <v>55</v>
      </c>
      <c r="M71" s="190">
        <v>10.6893020154706</v>
      </c>
      <c r="N71" s="190">
        <v>10.0287417164513</v>
      </c>
      <c r="O71" s="190">
        <v>10.335412803894901</v>
      </c>
      <c r="P71" s="53" t="s">
        <v>53</v>
      </c>
      <c r="Q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9"/>
      <c r="AM71" s="19"/>
      <c r="AN71" s="19"/>
      <c r="AO71" s="19"/>
    </row>
    <row r="72" spans="2:41" x14ac:dyDescent="0.2">
      <c r="B72" s="193" t="s">
        <v>95</v>
      </c>
      <c r="C72" s="194" t="s">
        <v>96</v>
      </c>
      <c r="D72" s="195"/>
      <c r="J72" s="17"/>
      <c r="K72" s="48"/>
      <c r="L72" s="48" t="s">
        <v>56</v>
      </c>
      <c r="M72" s="190" t="s">
        <v>46</v>
      </c>
      <c r="N72" s="190" t="s">
        <v>46</v>
      </c>
      <c r="O72" s="190" t="s">
        <v>46</v>
      </c>
      <c r="P72" s="53" t="s">
        <v>53</v>
      </c>
      <c r="Q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9"/>
      <c r="AM72" s="19"/>
      <c r="AN72" s="19"/>
      <c r="AO72" s="19"/>
    </row>
    <row r="73" spans="2:41" ht="15" x14ac:dyDescent="0.25">
      <c r="B73" s="196" t="s">
        <v>97</v>
      </c>
      <c r="C73" s="197">
        <v>200</v>
      </c>
      <c r="D73" s="198" t="str">
        <f>IF([1]MOH!$C$7="FIELD","md","m^2")</f>
        <v>md</v>
      </c>
      <c r="J73" s="17"/>
      <c r="K73" s="48"/>
      <c r="L73" s="48" t="s">
        <v>57</v>
      </c>
      <c r="M73" s="190" t="s">
        <v>46</v>
      </c>
      <c r="N73" s="190" t="s">
        <v>46</v>
      </c>
      <c r="O73" s="190" t="s">
        <v>46</v>
      </c>
      <c r="P73" s="53" t="s">
        <v>53</v>
      </c>
      <c r="Q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9"/>
      <c r="AM73" s="19"/>
      <c r="AN73" s="19"/>
      <c r="AO73" s="19"/>
    </row>
    <row r="74" spans="2:41" ht="15" x14ac:dyDescent="0.25">
      <c r="B74" s="196" t="s">
        <v>98</v>
      </c>
      <c r="C74" s="199">
        <v>0.14000000000000001</v>
      </c>
      <c r="D74" s="198" t="s">
        <v>46</v>
      </c>
      <c r="J74" s="17"/>
      <c r="K74" s="48"/>
      <c r="L74" s="48" t="s">
        <v>58</v>
      </c>
      <c r="M74" s="190" t="s">
        <v>46</v>
      </c>
      <c r="N74" s="190" t="s">
        <v>46</v>
      </c>
      <c r="O74" s="190" t="s">
        <v>46</v>
      </c>
      <c r="P74" s="53" t="s">
        <v>53</v>
      </c>
      <c r="Q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9"/>
      <c r="AM74" s="19"/>
      <c r="AN74" s="19"/>
      <c r="AO74" s="19"/>
    </row>
    <row r="75" spans="2:41" ht="15" x14ac:dyDescent="0.25">
      <c r="B75" s="196" t="s">
        <v>99</v>
      </c>
      <c r="C75" s="199">
        <v>1.1200000000000001</v>
      </c>
      <c r="D75" s="198" t="str">
        <f>IF([1]MOH!$C$7="FIELD","cP","Pas")</f>
        <v>cP</v>
      </c>
      <c r="J75" s="17"/>
      <c r="K75" s="17"/>
      <c r="L75" s="17"/>
      <c r="M75" s="17"/>
      <c r="N75" s="17"/>
      <c r="O75" s="17"/>
      <c r="P75" s="17"/>
      <c r="Q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9"/>
      <c r="AM75" s="19"/>
      <c r="AN75" s="19"/>
      <c r="AO75" s="19"/>
    </row>
    <row r="76" spans="2:41" ht="15" x14ac:dyDescent="0.25">
      <c r="B76" s="196" t="s">
        <v>100</v>
      </c>
      <c r="C76" s="197">
        <v>3000</v>
      </c>
      <c r="D76" s="198" t="str">
        <f>IF([1]MOH!$C$7="FIELD","bpd","m^3/s")</f>
        <v>bpd</v>
      </c>
      <c r="J76" s="17"/>
      <c r="K76" s="17"/>
      <c r="L76" s="17"/>
      <c r="M76" s="17"/>
      <c r="N76" s="17"/>
      <c r="O76" s="17"/>
      <c r="P76" s="17"/>
      <c r="Q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9"/>
      <c r="AM76" s="19"/>
      <c r="AN76" s="19"/>
      <c r="AO76" s="19"/>
    </row>
    <row r="77" spans="2:41" ht="15" x14ac:dyDescent="0.25">
      <c r="B77" s="196" t="s">
        <v>101</v>
      </c>
      <c r="C77" s="199">
        <v>2.0299999999999998</v>
      </c>
      <c r="D77" s="198" t="s">
        <v>46</v>
      </c>
      <c r="J77" s="17"/>
      <c r="K77" s="17"/>
      <c r="L77" s="17"/>
      <c r="M77" s="17"/>
      <c r="N77" s="17"/>
      <c r="O77" s="17"/>
      <c r="P77" s="17"/>
      <c r="Q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9"/>
      <c r="AM77" s="19"/>
      <c r="AN77" s="19"/>
      <c r="AO77" s="19"/>
    </row>
    <row r="78" spans="2:41" ht="15" x14ac:dyDescent="0.25">
      <c r="B78" s="196" t="s">
        <v>102</v>
      </c>
      <c r="C78" s="197">
        <v>2700</v>
      </c>
      <c r="D78" s="198" t="str">
        <f>IF([1]MOH!$C$7="FIELD","ft","m")</f>
        <v>ft</v>
      </c>
      <c r="J78" s="17"/>
      <c r="K78" s="17"/>
      <c r="L78" s="17"/>
      <c r="M78" s="17"/>
      <c r="N78" s="17"/>
      <c r="O78" s="17"/>
      <c r="P78" s="17"/>
      <c r="Q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9"/>
      <c r="AM78" s="19"/>
      <c r="AN78" s="19"/>
      <c r="AO78" s="19"/>
    </row>
    <row r="79" spans="2:41" ht="15" x14ac:dyDescent="0.25">
      <c r="B79" s="196" t="s">
        <v>103</v>
      </c>
      <c r="C79" s="197">
        <v>310</v>
      </c>
      <c r="D79" s="198" t="str">
        <f>IF([1]MOH!$C$7="FIELD","ft","m")</f>
        <v>ft</v>
      </c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9"/>
      <c r="AM79" s="19"/>
      <c r="AN79" s="19"/>
      <c r="AO79" s="19"/>
    </row>
    <row r="80" spans="2:41" ht="15" x14ac:dyDescent="0.25">
      <c r="B80" s="196" t="s">
        <v>104</v>
      </c>
      <c r="C80" s="199">
        <v>3.15</v>
      </c>
      <c r="D80" s="198" t="str">
        <f>IF([1]MOH!$C$7="FIELD","cm","m")</f>
        <v>cm</v>
      </c>
      <c r="J80" s="17"/>
      <c r="K80" s="17"/>
      <c r="L80" s="17"/>
      <c r="M80" s="17"/>
      <c r="N80" s="17"/>
      <c r="O80" s="17"/>
      <c r="P80" s="17"/>
      <c r="Q80" s="17"/>
      <c r="R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9"/>
      <c r="AM80" s="19"/>
      <c r="AN80" s="19"/>
      <c r="AO80" s="19"/>
    </row>
    <row r="81" spans="2:41" ht="15" x14ac:dyDescent="0.25">
      <c r="B81" s="200" t="s">
        <v>105</v>
      </c>
      <c r="C81" s="201">
        <v>2.75</v>
      </c>
      <c r="D81" s="202" t="str">
        <f>IF([1]MOH!$C$7="FIELD","cm","m")</f>
        <v>cm</v>
      </c>
      <c r="J81" s="17"/>
      <c r="K81" s="17"/>
      <c r="L81" s="17"/>
      <c r="M81" s="17"/>
      <c r="N81" s="17"/>
      <c r="O81" s="17"/>
      <c r="P81" s="17"/>
      <c r="Q81" s="17"/>
      <c r="R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9"/>
      <c r="AM81" s="19"/>
      <c r="AN81" s="19"/>
      <c r="AO81" s="19"/>
    </row>
    <row r="82" spans="2:41" x14ac:dyDescent="0.2">
      <c r="J82" s="17"/>
      <c r="K82" s="17"/>
      <c r="L82" s="17"/>
      <c r="M82" s="17"/>
      <c r="N82" s="17"/>
      <c r="O82" s="17"/>
      <c r="P82" s="17"/>
      <c r="Q82" s="17"/>
      <c r="R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9"/>
      <c r="AM82" s="19"/>
      <c r="AN82" s="19"/>
      <c r="AO82" s="19"/>
    </row>
    <row r="83" spans="2:41" x14ac:dyDescent="0.2">
      <c r="J83" s="17"/>
      <c r="K83" s="17"/>
      <c r="L83" s="17"/>
      <c r="M83" s="17"/>
      <c r="N83" s="17"/>
      <c r="O83" s="17"/>
      <c r="P83" s="17"/>
      <c r="Q83" s="17"/>
      <c r="R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9"/>
      <c r="AM83" s="19"/>
      <c r="AN83" s="19"/>
      <c r="AO83" s="19"/>
    </row>
    <row r="84" spans="2:41" x14ac:dyDescent="0.2">
      <c r="J84" s="17"/>
      <c r="K84" s="17"/>
      <c r="L84" s="17"/>
      <c r="M84" s="17"/>
      <c r="N84" s="17"/>
      <c r="O84" s="17"/>
      <c r="P84" s="17"/>
      <c r="Q84" s="17"/>
      <c r="R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9"/>
      <c r="AM84" s="19"/>
      <c r="AN84" s="19"/>
      <c r="AO84" s="19"/>
    </row>
    <row r="85" spans="2:41" x14ac:dyDescent="0.2">
      <c r="J85" s="17"/>
      <c r="K85" s="17"/>
      <c r="L85" s="17"/>
      <c r="M85" s="17"/>
      <c r="N85" s="17"/>
      <c r="O85" s="17"/>
      <c r="P85" s="17"/>
      <c r="Q85" s="17"/>
      <c r="R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9"/>
      <c r="AM85" s="19"/>
      <c r="AN85" s="19"/>
      <c r="AO85" s="19"/>
    </row>
    <row r="86" spans="2:41" x14ac:dyDescent="0.2">
      <c r="J86" s="17"/>
      <c r="K86" s="17"/>
      <c r="L86" s="17"/>
      <c r="M86" s="17"/>
      <c r="N86" s="17"/>
      <c r="O86" s="17"/>
      <c r="P86" s="17"/>
      <c r="Q86" s="17"/>
      <c r="R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9"/>
      <c r="AM86" s="19"/>
      <c r="AN86" s="19"/>
      <c r="AO86" s="19"/>
    </row>
    <row r="87" spans="2:41" ht="18.75" x14ac:dyDescent="0.3">
      <c r="B87" s="203" t="s">
        <v>106</v>
      </c>
      <c r="C87" s="63"/>
      <c r="D87" s="192"/>
      <c r="E87" s="182"/>
      <c r="J87" s="17"/>
      <c r="K87" s="17"/>
      <c r="L87" s="17"/>
      <c r="M87" s="17"/>
      <c r="N87" s="17"/>
      <c r="O87" s="17"/>
      <c r="P87" s="17"/>
      <c r="Q87" s="17"/>
      <c r="R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9"/>
      <c r="AM87" s="19"/>
      <c r="AN87" s="19"/>
      <c r="AO87" s="19"/>
    </row>
    <row r="88" spans="2:41" ht="15" x14ac:dyDescent="0.25">
      <c r="B88" s="204" t="s">
        <v>107</v>
      </c>
      <c r="C88" s="205"/>
      <c r="D88" s="206">
        <v>10</v>
      </c>
      <c r="E88" s="207" t="str">
        <f>IF([1]MOH!$C$7="FIELD","ppg","Kg/m^3")</f>
        <v>ppg</v>
      </c>
      <c r="J88" s="17"/>
      <c r="K88" s="17"/>
      <c r="L88" s="17"/>
      <c r="M88" s="17"/>
      <c r="N88" s="17"/>
      <c r="O88" s="17"/>
      <c r="P88" s="17"/>
      <c r="Q88" s="17"/>
      <c r="R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9"/>
      <c r="AM88" s="19"/>
      <c r="AN88" s="19"/>
      <c r="AO88" s="19"/>
    </row>
    <row r="89" spans="2:41" ht="15" x14ac:dyDescent="0.25">
      <c r="B89" s="208" t="s">
        <v>108</v>
      </c>
      <c r="C89" s="209"/>
      <c r="D89" s="210">
        <v>10</v>
      </c>
      <c r="E89" s="211" t="s">
        <v>109</v>
      </c>
      <c r="J89" s="17"/>
      <c r="K89" s="17"/>
      <c r="L89" s="17"/>
      <c r="M89" s="17"/>
      <c r="N89" s="17"/>
      <c r="O89" s="17"/>
      <c r="P89" s="17"/>
      <c r="Q89" s="17"/>
      <c r="R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9"/>
      <c r="AM89" s="19"/>
      <c r="AN89" s="19"/>
      <c r="AO89" s="19"/>
    </row>
    <row r="90" spans="2:41" ht="15" x14ac:dyDescent="0.25">
      <c r="B90" s="212" t="s">
        <v>110</v>
      </c>
      <c r="C90" s="213"/>
      <c r="D90" s="214">
        <v>5</v>
      </c>
      <c r="E90" s="211" t="str">
        <f>IF([1]MOH!$C$7="FIELD","in","cc")</f>
        <v>in</v>
      </c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9"/>
      <c r="AM90" s="19"/>
      <c r="AN90" s="19"/>
      <c r="AO90" s="19"/>
    </row>
    <row r="91" spans="2:41" x14ac:dyDescent="0.2"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9"/>
      <c r="AM91" s="19"/>
      <c r="AN91" s="19"/>
      <c r="AO91" s="19"/>
    </row>
    <row r="92" spans="2:41" x14ac:dyDescent="0.2"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9"/>
      <c r="AM92" s="19"/>
      <c r="AN92" s="19"/>
      <c r="AO92" s="19"/>
    </row>
    <row r="93" spans="2:41" x14ac:dyDescent="0.2"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9"/>
      <c r="AM93" s="19"/>
      <c r="AN93" s="19"/>
      <c r="AO93" s="19"/>
    </row>
    <row r="94" spans="2:41" x14ac:dyDescent="0.2"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9"/>
      <c r="AM94" s="19"/>
      <c r="AN94" s="19"/>
      <c r="AO94" s="19"/>
    </row>
    <row r="95" spans="2:41" x14ac:dyDescent="0.2"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9"/>
      <c r="AM95" s="19"/>
      <c r="AN95" s="19"/>
      <c r="AO95" s="19"/>
    </row>
    <row r="96" spans="2:41" x14ac:dyDescent="0.2"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9"/>
      <c r="AM96" s="19"/>
      <c r="AN96" s="19"/>
      <c r="AO96" s="19"/>
    </row>
    <row r="97" spans="2:41" ht="18.75" x14ac:dyDescent="0.3">
      <c r="B97" s="215" t="s">
        <v>111</v>
      </c>
      <c r="C97" s="216"/>
      <c r="D97" s="95"/>
      <c r="E97" s="96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9"/>
      <c r="AM97" s="19"/>
      <c r="AN97" s="19"/>
      <c r="AO97" s="19"/>
    </row>
    <row r="98" spans="2:41" x14ac:dyDescent="0.2">
      <c r="B98" s="217" t="s">
        <v>112</v>
      </c>
      <c r="C98" s="218" t="s">
        <v>113</v>
      </c>
      <c r="D98" s="219" t="str">
        <f>IF([1]MOH!$C$7="FIELD","Wt./Lbs","wt./Kg")</f>
        <v>Wt./Lbs</v>
      </c>
      <c r="E98" s="220" t="s">
        <v>114</v>
      </c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9"/>
      <c r="AM98" s="19"/>
      <c r="AN98" s="19"/>
      <c r="AO98" s="19"/>
    </row>
    <row r="99" spans="2:41" x14ac:dyDescent="0.2">
      <c r="B99" s="221">
        <v>1</v>
      </c>
      <c r="C99" s="222" t="s">
        <v>115</v>
      </c>
      <c r="D99" s="223">
        <v>6</v>
      </c>
      <c r="E99" s="224">
        <v>20.16</v>
      </c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9"/>
      <c r="AM99" s="19"/>
      <c r="AN99" s="19"/>
      <c r="AO99" s="19"/>
    </row>
    <row r="100" spans="2:41" x14ac:dyDescent="0.2">
      <c r="B100" s="142">
        <v>2</v>
      </c>
      <c r="C100" s="225" t="s">
        <v>116</v>
      </c>
      <c r="D100" s="226">
        <v>4</v>
      </c>
      <c r="E100" s="224">
        <v>17.64</v>
      </c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9"/>
      <c r="AM100" s="19"/>
      <c r="AN100" s="19"/>
      <c r="AO100" s="19"/>
    </row>
    <row r="101" spans="2:41" x14ac:dyDescent="0.2">
      <c r="B101" s="142">
        <v>3</v>
      </c>
      <c r="C101" s="227" t="s">
        <v>117</v>
      </c>
      <c r="D101" s="226">
        <v>150</v>
      </c>
      <c r="E101" s="224">
        <v>36.119999999999997</v>
      </c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9"/>
      <c r="AM101" s="19"/>
      <c r="AN101" s="19"/>
      <c r="AO101" s="19"/>
    </row>
    <row r="102" spans="2:41" ht="14.25" x14ac:dyDescent="0.2">
      <c r="B102" s="142">
        <v>4</v>
      </c>
      <c r="C102" s="227" t="s">
        <v>118</v>
      </c>
      <c r="D102" s="226">
        <v>35</v>
      </c>
      <c r="E102" s="224">
        <v>21.84</v>
      </c>
      <c r="K102" s="39" t="s">
        <v>119</v>
      </c>
      <c r="L102" s="149"/>
      <c r="M102" s="149"/>
      <c r="N102" s="149"/>
      <c r="O102" s="149"/>
      <c r="P102" s="228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9"/>
      <c r="AM102" s="19"/>
      <c r="AN102" s="19"/>
      <c r="AO102" s="19"/>
    </row>
    <row r="103" spans="2:41" ht="15" x14ac:dyDescent="0.25">
      <c r="B103" s="142">
        <v>5</v>
      </c>
      <c r="C103" s="227" t="s">
        <v>120</v>
      </c>
      <c r="D103" s="226">
        <v>5</v>
      </c>
      <c r="E103" s="224">
        <v>13.44</v>
      </c>
      <c r="K103" s="229" t="s">
        <v>121</v>
      </c>
      <c r="L103" s="48"/>
      <c r="M103" s="230" t="s">
        <v>14</v>
      </c>
      <c r="N103" s="230" t="s">
        <v>12</v>
      </c>
      <c r="O103" s="231" t="s">
        <v>13</v>
      </c>
      <c r="P103" s="232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9"/>
      <c r="AM103" s="19"/>
      <c r="AN103" s="19"/>
      <c r="AO103" s="19"/>
    </row>
    <row r="104" spans="2:41" x14ac:dyDescent="0.2">
      <c r="B104" s="142">
        <v>6</v>
      </c>
      <c r="C104" s="227" t="s">
        <v>122</v>
      </c>
      <c r="D104" s="226">
        <v>0</v>
      </c>
      <c r="E104" s="224">
        <v>13.44</v>
      </c>
      <c r="K104" s="229" t="s">
        <v>123</v>
      </c>
      <c r="L104" s="48"/>
      <c r="M104" s="190">
        <v>206.62221389611901</v>
      </c>
      <c r="N104" s="190">
        <v>332.375759799619</v>
      </c>
      <c r="O104" s="190">
        <v>277.01691916936699</v>
      </c>
      <c r="P104" s="233" t="s">
        <v>22</v>
      </c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9"/>
      <c r="AM104" s="19"/>
      <c r="AN104" s="19"/>
      <c r="AO104" s="19"/>
    </row>
    <row r="105" spans="2:41" x14ac:dyDescent="0.2">
      <c r="B105" s="142">
        <v>7</v>
      </c>
      <c r="C105" s="227" t="s">
        <v>124</v>
      </c>
      <c r="D105" s="226">
        <v>3</v>
      </c>
      <c r="E105" s="224">
        <v>11.76</v>
      </c>
      <c r="K105" s="229" t="s">
        <v>125</v>
      </c>
      <c r="L105" s="48"/>
      <c r="M105" s="190">
        <v>0</v>
      </c>
      <c r="N105" s="190">
        <v>0</v>
      </c>
      <c r="O105" s="190">
        <v>0</v>
      </c>
      <c r="P105" s="233" t="s">
        <v>22</v>
      </c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9"/>
      <c r="AM105" s="19"/>
      <c r="AN105" s="19"/>
      <c r="AO105" s="19"/>
    </row>
    <row r="106" spans="2:41" x14ac:dyDescent="0.2">
      <c r="B106" s="160">
        <v>8</v>
      </c>
      <c r="C106" s="234" t="s">
        <v>126</v>
      </c>
      <c r="D106" s="235">
        <v>0</v>
      </c>
      <c r="E106" s="236">
        <v>11.76</v>
      </c>
      <c r="K106" s="237" t="s">
        <v>127</v>
      </c>
      <c r="L106" s="238"/>
      <c r="M106" s="239">
        <v>0</v>
      </c>
      <c r="N106" s="239">
        <v>0</v>
      </c>
      <c r="O106" s="239">
        <v>0</v>
      </c>
      <c r="P106" s="240" t="s">
        <v>22</v>
      </c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9"/>
      <c r="AM106" s="19"/>
      <c r="AN106" s="19"/>
      <c r="AO106" s="19"/>
    </row>
    <row r="107" spans="2:41" x14ac:dyDescent="0.2"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9"/>
      <c r="AM107" s="19"/>
      <c r="AN107" s="19"/>
      <c r="AO107" s="19"/>
    </row>
    <row r="108" spans="2:41" x14ac:dyDescent="0.2"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9"/>
      <c r="AM108" s="19"/>
      <c r="AN108" s="19"/>
      <c r="AO108" s="19"/>
    </row>
    <row r="109" spans="2:41" ht="14.25" x14ac:dyDescent="0.2">
      <c r="K109" s="241"/>
      <c r="L109" s="241"/>
      <c r="M109" s="242"/>
      <c r="N109" s="241"/>
      <c r="O109" s="243"/>
      <c r="P109" s="241"/>
      <c r="Q109" s="241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9"/>
      <c r="AM109" s="19"/>
      <c r="AN109" s="19"/>
      <c r="AO109" s="19"/>
    </row>
    <row r="110" spans="2:41" x14ac:dyDescent="0.2">
      <c r="K110" s="243"/>
      <c r="L110" s="243"/>
      <c r="M110" s="242"/>
      <c r="N110" s="243"/>
      <c r="O110" s="243"/>
      <c r="P110" s="243"/>
      <c r="Q110" s="243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9"/>
      <c r="AM110" s="19"/>
      <c r="AN110" s="19"/>
      <c r="AO110" s="19"/>
    </row>
    <row r="111" spans="2:41" ht="15" x14ac:dyDescent="0.25">
      <c r="K111" s="243"/>
      <c r="L111" s="243"/>
      <c r="M111" s="242"/>
      <c r="N111" s="244"/>
      <c r="O111" s="243"/>
      <c r="P111" s="243"/>
      <c r="Q111" s="243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9"/>
      <c r="AM111" s="19"/>
      <c r="AN111" s="19"/>
      <c r="AO111" s="19"/>
    </row>
    <row r="112" spans="2:41" x14ac:dyDescent="0.2"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9"/>
      <c r="AM112" s="19"/>
      <c r="AN112" s="19"/>
      <c r="AO112" s="19"/>
    </row>
    <row r="113" spans="2:41" ht="18.75" x14ac:dyDescent="0.3">
      <c r="B113" s="245" t="s">
        <v>128</v>
      </c>
      <c r="C113" s="246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9"/>
      <c r="AM113" s="19"/>
      <c r="AN113" s="19"/>
      <c r="AO113" s="19"/>
    </row>
    <row r="114" spans="2:41" x14ac:dyDescent="0.2">
      <c r="B114" s="247" t="s">
        <v>129</v>
      </c>
      <c r="C114" s="248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9"/>
      <c r="AM114" s="19"/>
      <c r="AN114" s="19"/>
      <c r="AO114" s="19"/>
    </row>
    <row r="115" spans="2:41" x14ac:dyDescent="0.2">
      <c r="B115" s="249" t="s">
        <v>8</v>
      </c>
      <c r="C115" s="249" t="s">
        <v>9</v>
      </c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9"/>
      <c r="AM115" s="19"/>
      <c r="AN115" s="19"/>
      <c r="AO115" s="19"/>
    </row>
    <row r="116" spans="2:41" x14ac:dyDescent="0.2">
      <c r="B116" s="250">
        <v>600</v>
      </c>
      <c r="C116" s="251">
        <v>53</v>
      </c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9"/>
      <c r="AM116" s="19"/>
      <c r="AN116" s="19"/>
      <c r="AO116" s="19"/>
    </row>
    <row r="117" spans="2:41" x14ac:dyDescent="0.2">
      <c r="B117" s="252">
        <v>300</v>
      </c>
      <c r="C117" s="253">
        <v>32</v>
      </c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9"/>
      <c r="AM117" s="19"/>
      <c r="AN117" s="19"/>
      <c r="AO117" s="19"/>
    </row>
    <row r="118" spans="2:41" x14ac:dyDescent="0.2">
      <c r="B118" s="252">
        <v>200</v>
      </c>
      <c r="C118" s="253">
        <v>25</v>
      </c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9"/>
      <c r="AM118" s="19"/>
      <c r="AN118" s="19"/>
      <c r="AO118" s="19"/>
    </row>
    <row r="119" spans="2:41" x14ac:dyDescent="0.2">
      <c r="B119" s="252">
        <v>100</v>
      </c>
      <c r="C119" s="253">
        <v>17</v>
      </c>
      <c r="J119" s="17"/>
      <c r="K119" s="17"/>
      <c r="L119" s="17"/>
      <c r="M119" s="17"/>
      <c r="N119" s="17"/>
      <c r="O119" s="17"/>
      <c r="P119" s="17"/>
      <c r="Q119" s="17"/>
      <c r="R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9"/>
      <c r="AM119" s="19"/>
      <c r="AN119" s="19"/>
      <c r="AO119" s="19"/>
    </row>
    <row r="120" spans="2:41" x14ac:dyDescent="0.2">
      <c r="B120" s="252">
        <v>6</v>
      </c>
      <c r="C120" s="253">
        <v>7</v>
      </c>
      <c r="J120" s="17"/>
      <c r="K120" s="17"/>
      <c r="L120" s="17"/>
      <c r="M120" s="17"/>
      <c r="N120" s="17"/>
      <c r="O120" s="17"/>
      <c r="P120" s="17"/>
      <c r="Q120" s="17"/>
      <c r="R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9"/>
      <c r="AM120" s="19"/>
      <c r="AN120" s="19"/>
      <c r="AO120" s="19"/>
    </row>
    <row r="121" spans="2:41" x14ac:dyDescent="0.2">
      <c r="B121" s="254">
        <v>3</v>
      </c>
      <c r="C121" s="255">
        <v>6</v>
      </c>
      <c r="J121" s="17"/>
      <c r="K121" s="17"/>
      <c r="L121" s="17"/>
      <c r="M121" s="17"/>
      <c r="N121" s="17"/>
      <c r="O121" s="17"/>
      <c r="P121" s="17"/>
      <c r="Q121" s="17"/>
      <c r="R121" s="17"/>
      <c r="AD121" s="17"/>
      <c r="AE121" s="17"/>
      <c r="AF121" s="17"/>
      <c r="AG121" s="17"/>
      <c r="AH121" s="17"/>
      <c r="AI121" s="17"/>
      <c r="AJ121" s="17"/>
      <c r="AK121" s="17"/>
      <c r="AL121" s="19"/>
      <c r="AM121" s="19"/>
      <c r="AN121" s="19"/>
      <c r="AO121" s="19"/>
    </row>
    <row r="122" spans="2:41" x14ac:dyDescent="0.2">
      <c r="J122" s="17"/>
      <c r="K122" s="17"/>
      <c r="L122" s="17"/>
      <c r="M122" s="17"/>
      <c r="N122" s="17"/>
      <c r="O122" s="17"/>
      <c r="P122" s="17"/>
      <c r="Q122" s="17"/>
      <c r="R122" s="17"/>
      <c r="AD122" s="17"/>
      <c r="AE122" s="17"/>
      <c r="AF122" s="17"/>
      <c r="AG122" s="17"/>
    </row>
    <row r="123" spans="2:41" x14ac:dyDescent="0.2">
      <c r="J123" s="17"/>
      <c r="K123" s="17"/>
      <c r="L123" s="17"/>
      <c r="M123" s="17"/>
      <c r="N123" s="17"/>
      <c r="O123" s="17"/>
      <c r="P123" s="17"/>
      <c r="Q123" s="17"/>
      <c r="R123" s="17"/>
      <c r="AD123" s="17"/>
      <c r="AE123" s="17"/>
      <c r="AF123" s="17"/>
      <c r="AG123" s="17"/>
    </row>
    <row r="124" spans="2:41" x14ac:dyDescent="0.2">
      <c r="J124" s="17"/>
      <c r="K124" s="17"/>
      <c r="L124" s="17"/>
      <c r="M124" s="17"/>
      <c r="N124" s="17"/>
      <c r="O124" s="17"/>
      <c r="P124" s="17"/>
      <c r="Q124" s="17"/>
      <c r="R124" s="17"/>
      <c r="AD124" s="17"/>
      <c r="AE124" s="17"/>
      <c r="AF124" s="17"/>
      <c r="AG124" s="17"/>
    </row>
    <row r="125" spans="2:41" x14ac:dyDescent="0.2">
      <c r="J125" s="17"/>
      <c r="K125" s="17"/>
      <c r="L125" s="17"/>
      <c r="M125" s="17"/>
      <c r="N125" s="17"/>
      <c r="O125" s="17"/>
      <c r="P125" s="17"/>
      <c r="Q125" s="17"/>
      <c r="R125" s="17"/>
      <c r="AD125" s="17"/>
      <c r="AE125" s="17"/>
      <c r="AF125" s="17"/>
      <c r="AG125" s="17"/>
    </row>
    <row r="126" spans="2:41" x14ac:dyDescent="0.2">
      <c r="J126" s="17"/>
      <c r="K126" s="17"/>
      <c r="L126" s="17"/>
      <c r="M126" s="17"/>
      <c r="N126" s="17"/>
      <c r="O126" s="17"/>
      <c r="P126" s="17"/>
      <c r="Q126" s="17"/>
      <c r="R126" s="17"/>
      <c r="AD126" s="17"/>
      <c r="AE126" s="17"/>
      <c r="AF126" s="17"/>
      <c r="AG126" s="17"/>
    </row>
    <row r="127" spans="2:41" ht="18.75" x14ac:dyDescent="0.3">
      <c r="B127" s="245" t="s">
        <v>128</v>
      </c>
      <c r="C127" s="246"/>
      <c r="J127" s="17"/>
      <c r="K127" s="17"/>
      <c r="L127" s="17"/>
      <c r="M127" s="17"/>
      <c r="N127" s="17"/>
      <c r="O127" s="17"/>
      <c r="P127" s="17"/>
      <c r="Q127" s="17"/>
      <c r="R127" s="17"/>
      <c r="AD127" s="17"/>
      <c r="AE127" s="17"/>
      <c r="AF127" s="17"/>
      <c r="AG127" s="17"/>
    </row>
    <row r="128" spans="2:41" x14ac:dyDescent="0.2">
      <c r="B128" s="247" t="s">
        <v>130</v>
      </c>
      <c r="C128" s="248"/>
      <c r="J128" s="17"/>
      <c r="K128" s="17"/>
      <c r="L128" s="17"/>
      <c r="M128" s="17"/>
      <c r="N128" s="17"/>
      <c r="O128" s="17"/>
      <c r="P128" s="17"/>
      <c r="Q128" s="17"/>
      <c r="R128" s="17"/>
      <c r="AD128" s="17"/>
      <c r="AE128" s="17"/>
      <c r="AF128" s="17"/>
      <c r="AG128" s="17"/>
    </row>
    <row r="129" spans="2:33" x14ac:dyDescent="0.2">
      <c r="B129" s="249" t="s">
        <v>8</v>
      </c>
      <c r="C129" s="249" t="s">
        <v>9</v>
      </c>
      <c r="J129" s="17"/>
      <c r="K129" s="17"/>
      <c r="L129" s="17"/>
      <c r="M129" s="17"/>
      <c r="N129" s="17"/>
      <c r="O129" s="17"/>
      <c r="P129" s="17"/>
      <c r="Q129" s="17"/>
      <c r="R129" s="17"/>
      <c r="AD129" s="17"/>
      <c r="AE129" s="17"/>
      <c r="AF129" s="17"/>
      <c r="AG129" s="17"/>
    </row>
    <row r="130" spans="2:33" x14ac:dyDescent="0.2">
      <c r="B130" s="250">
        <v>600</v>
      </c>
      <c r="C130" s="251">
        <v>53</v>
      </c>
      <c r="J130" s="17"/>
      <c r="K130" s="17"/>
      <c r="L130" s="17"/>
      <c r="M130" s="17"/>
      <c r="N130" s="17"/>
      <c r="O130" s="17"/>
      <c r="P130" s="17"/>
      <c r="Q130" s="17"/>
      <c r="R130" s="17"/>
      <c r="AD130" s="17"/>
      <c r="AE130" s="17"/>
      <c r="AF130" s="17"/>
      <c r="AG130" s="17"/>
    </row>
    <row r="131" spans="2:33" x14ac:dyDescent="0.2">
      <c r="B131" s="254">
        <v>300</v>
      </c>
      <c r="C131" s="255">
        <v>32</v>
      </c>
      <c r="J131" s="17"/>
      <c r="K131" s="17"/>
      <c r="L131" s="17"/>
      <c r="M131" s="17"/>
      <c r="N131" s="17"/>
      <c r="O131" s="17"/>
      <c r="P131" s="17"/>
      <c r="Q131" s="17"/>
      <c r="R131" s="17"/>
      <c r="AD131" s="17"/>
      <c r="AE131" s="17"/>
      <c r="AF131" s="17"/>
      <c r="AG131" s="17"/>
    </row>
    <row r="132" spans="2:33" x14ac:dyDescent="0.2">
      <c r="J132" s="17"/>
      <c r="K132" s="17"/>
      <c r="L132" s="17"/>
      <c r="M132" s="17"/>
      <c r="N132" s="17"/>
      <c r="O132" s="17"/>
      <c r="P132" s="17"/>
      <c r="Q132" s="17"/>
      <c r="R132" s="17"/>
      <c r="AD132" s="17"/>
      <c r="AE132" s="17"/>
      <c r="AF132" s="17"/>
      <c r="AG132" s="17"/>
    </row>
    <row r="133" spans="2:33" x14ac:dyDescent="0.2">
      <c r="J133" s="17"/>
      <c r="K133" s="17"/>
      <c r="L133" s="17"/>
      <c r="M133" s="17"/>
      <c r="N133" s="17"/>
      <c r="O133" s="17"/>
      <c r="P133" s="17"/>
      <c r="AD133" s="17"/>
      <c r="AE133" s="17"/>
      <c r="AF133" s="17"/>
      <c r="AG133" s="17"/>
    </row>
    <row r="134" spans="2:33" ht="15" x14ac:dyDescent="0.25">
      <c r="J134" s="17"/>
      <c r="K134" s="256" t="s">
        <v>131</v>
      </c>
      <c r="L134" s="257"/>
      <c r="M134" s="257"/>
      <c r="N134" s="258"/>
      <c r="O134" s="259"/>
      <c r="P134" s="17"/>
      <c r="AD134" s="17"/>
      <c r="AE134" s="17"/>
      <c r="AF134" s="17"/>
      <c r="AG134" s="17"/>
    </row>
    <row r="135" spans="2:33" ht="15" x14ac:dyDescent="0.25">
      <c r="J135" s="17"/>
      <c r="K135" s="260" t="s">
        <v>121</v>
      </c>
      <c r="L135" s="261" t="s">
        <v>61</v>
      </c>
      <c r="M135" s="261" t="s">
        <v>12</v>
      </c>
      <c r="N135" s="261" t="s">
        <v>13</v>
      </c>
      <c r="O135" s="262"/>
      <c r="P135" s="17"/>
      <c r="AD135" s="17"/>
      <c r="AE135" s="17"/>
      <c r="AF135" s="17"/>
      <c r="AG135" s="17"/>
    </row>
    <row r="136" spans="2:33" ht="15" x14ac:dyDescent="0.25">
      <c r="J136" s="17"/>
      <c r="K136" s="237" t="s">
        <v>132</v>
      </c>
      <c r="L136" s="263">
        <v>0.75871289522883201</v>
      </c>
      <c r="M136" s="263">
        <v>0.89754932183589498</v>
      </c>
      <c r="N136" s="263">
        <v>0.88563074224497096</v>
      </c>
      <c r="O136" s="264" t="s">
        <v>133</v>
      </c>
      <c r="P136" s="17"/>
      <c r="AD136" s="17"/>
      <c r="AE136" s="17"/>
      <c r="AF136" s="17"/>
      <c r="AG136" s="17"/>
    </row>
    <row r="137" spans="2:33" ht="15" x14ac:dyDescent="0.25">
      <c r="J137" s="17"/>
      <c r="K137" s="17"/>
      <c r="L137" s="265"/>
      <c r="M137" s="266"/>
      <c r="N137" s="17"/>
      <c r="O137" s="17"/>
      <c r="P137" s="17"/>
      <c r="AD137" s="17"/>
      <c r="AE137" s="17"/>
      <c r="AF137" s="17"/>
      <c r="AG137" s="17"/>
    </row>
    <row r="138" spans="2:33" ht="18.75" x14ac:dyDescent="0.3">
      <c r="B138" s="267" t="s">
        <v>134</v>
      </c>
      <c r="C138" s="268"/>
      <c r="D138" s="268"/>
      <c r="E138" s="269"/>
      <c r="J138" s="17"/>
      <c r="M138" s="266"/>
      <c r="N138" s="17"/>
      <c r="O138" s="17"/>
      <c r="P138" s="17"/>
      <c r="AD138" s="17"/>
      <c r="AE138" s="17"/>
      <c r="AF138" s="17"/>
      <c r="AG138" s="17"/>
    </row>
    <row r="139" spans="2:33" ht="15" x14ac:dyDescent="0.25">
      <c r="B139" s="270" t="s">
        <v>135</v>
      </c>
      <c r="C139" s="271"/>
      <c r="D139" s="272">
        <v>57</v>
      </c>
      <c r="E139" s="273" t="str">
        <f>IF([1]MOH!$C$7="FIELD","hrs","hrs")</f>
        <v>hrs</v>
      </c>
      <c r="J139" s="17"/>
      <c r="K139" s="17"/>
      <c r="L139" s="17"/>
      <c r="M139" s="17"/>
      <c r="N139" s="17"/>
      <c r="O139" s="17"/>
      <c r="P139" s="17"/>
      <c r="AD139" s="17"/>
      <c r="AE139" s="17"/>
      <c r="AF139" s="17"/>
      <c r="AG139" s="17"/>
    </row>
    <row r="140" spans="2:33" ht="15" x14ac:dyDescent="0.25">
      <c r="B140" s="208" t="s">
        <v>136</v>
      </c>
      <c r="C140" s="87"/>
      <c r="D140" s="274">
        <v>28</v>
      </c>
      <c r="E140" s="273" t="str">
        <f>IF([1]MOH!$C$7="FIELD","hrs","hrs")</f>
        <v>hrs</v>
      </c>
      <c r="J140" s="17"/>
      <c r="K140" s="17"/>
      <c r="L140" s="17"/>
      <c r="M140" s="17"/>
      <c r="N140" s="17"/>
      <c r="O140" s="17"/>
      <c r="P140" s="17"/>
      <c r="AD140" s="17"/>
      <c r="AE140" s="17"/>
      <c r="AF140" s="17"/>
      <c r="AG140" s="17"/>
    </row>
    <row r="141" spans="2:33" ht="15" x14ac:dyDescent="0.25">
      <c r="B141" s="208" t="s">
        <v>137</v>
      </c>
      <c r="C141" s="275"/>
      <c r="D141" s="143">
        <v>0</v>
      </c>
      <c r="E141" s="198" t="str">
        <f>IF([1]MOH!$C$7="FIELD","psi","KPa")</f>
        <v>psi</v>
      </c>
      <c r="J141" s="17"/>
      <c r="K141" s="17"/>
      <c r="L141" s="17"/>
      <c r="M141" s="17"/>
      <c r="N141" s="17"/>
      <c r="O141" s="17"/>
      <c r="P141" s="17"/>
      <c r="AD141" s="17"/>
      <c r="AE141" s="17"/>
      <c r="AF141" s="17"/>
      <c r="AG141" s="17"/>
    </row>
    <row r="142" spans="2:33" ht="15" x14ac:dyDescent="0.25">
      <c r="B142" s="212" t="s">
        <v>138</v>
      </c>
      <c r="C142" s="276"/>
      <c r="D142" s="161">
        <v>330</v>
      </c>
      <c r="E142" s="202" t="str">
        <f>IF([1]MOH!C7="FIELD","fahrenheit","Celsius")</f>
        <v>fahrenheit</v>
      </c>
      <c r="J142" s="17"/>
      <c r="K142" s="256" t="s">
        <v>139</v>
      </c>
      <c r="L142" s="277"/>
      <c r="M142" s="277"/>
      <c r="N142" s="258"/>
      <c r="O142" s="259"/>
      <c r="P142" s="17"/>
      <c r="X142" s="17"/>
      <c r="Y142" s="17"/>
      <c r="Z142" s="17"/>
      <c r="AA142" s="17"/>
      <c r="AB142" s="17"/>
      <c r="AC142" s="17"/>
      <c r="AD142" s="17"/>
      <c r="AE142" s="17"/>
      <c r="AF142" s="17"/>
      <c r="AG142" s="17"/>
    </row>
    <row r="143" spans="2:33" ht="15" x14ac:dyDescent="0.25">
      <c r="J143" s="17"/>
      <c r="K143" s="278" t="s">
        <v>121</v>
      </c>
      <c r="L143" s="279" t="s">
        <v>14</v>
      </c>
      <c r="M143" s="279" t="s">
        <v>12</v>
      </c>
      <c r="N143" s="279" t="s">
        <v>13</v>
      </c>
      <c r="O143" s="278"/>
      <c r="P143" s="17"/>
      <c r="X143" s="17"/>
      <c r="Y143" s="17"/>
      <c r="Z143" s="17"/>
      <c r="AA143" s="17"/>
      <c r="AB143" s="17"/>
      <c r="AC143" s="17"/>
      <c r="AD143" s="17"/>
      <c r="AE143" s="17"/>
      <c r="AF143" s="17"/>
      <c r="AG143" s="17"/>
    </row>
    <row r="144" spans="2:33" ht="15" x14ac:dyDescent="0.25">
      <c r="J144" s="17"/>
      <c r="K144" s="48" t="s">
        <v>132</v>
      </c>
      <c r="L144" s="280">
        <v>0</v>
      </c>
      <c r="M144" s="281">
        <v>0</v>
      </c>
      <c r="N144" s="281">
        <v>0</v>
      </c>
      <c r="O144" s="282" t="s">
        <v>133</v>
      </c>
      <c r="P144" s="17"/>
      <c r="X144" s="17"/>
      <c r="Y144" s="17"/>
      <c r="Z144" s="17"/>
      <c r="AA144" s="17"/>
      <c r="AB144" s="17"/>
      <c r="AC144" s="17"/>
      <c r="AD144" s="17"/>
      <c r="AE144" s="17"/>
      <c r="AF144" s="17"/>
      <c r="AG144" s="17"/>
    </row>
    <row r="145" spans="3:41" ht="15" x14ac:dyDescent="0.25">
      <c r="J145" s="17"/>
      <c r="K145" s="17"/>
      <c r="L145" s="265"/>
      <c r="M145" s="283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7"/>
      <c r="AF145" s="17"/>
      <c r="AG145" s="17"/>
    </row>
    <row r="146" spans="3:41" ht="15" x14ac:dyDescent="0.25">
      <c r="J146" s="17"/>
      <c r="K146" s="17"/>
      <c r="L146" s="284"/>
      <c r="M146" s="283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F146" s="17"/>
      <c r="AG146" s="17"/>
    </row>
    <row r="147" spans="3:41" ht="15" x14ac:dyDescent="0.25">
      <c r="C147" s="54"/>
      <c r="J147" s="17"/>
      <c r="M147" s="283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F147" s="17"/>
      <c r="AG147" s="17"/>
    </row>
    <row r="148" spans="3:41" x14ac:dyDescent="0.2"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F148" s="17"/>
      <c r="AG148" s="17"/>
      <c r="AH148" s="17"/>
      <c r="AI148" s="17"/>
      <c r="AJ148" s="17"/>
      <c r="AK148" s="17"/>
      <c r="AL148" s="19"/>
      <c r="AM148" s="19"/>
      <c r="AN148" s="19"/>
      <c r="AO148" s="19"/>
    </row>
    <row r="149" spans="3:41" x14ac:dyDescent="0.2"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F149" s="17"/>
      <c r="AG149" s="17"/>
      <c r="AH149" s="17"/>
      <c r="AI149" s="17"/>
      <c r="AJ149" s="17"/>
      <c r="AK149" s="17"/>
      <c r="AL149" s="19"/>
      <c r="AM149" s="19"/>
      <c r="AN149" s="19"/>
      <c r="AO149" s="19"/>
    </row>
    <row r="150" spans="3:41" x14ac:dyDescent="0.2"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F150" s="17"/>
      <c r="AG150" s="17"/>
      <c r="AH150" s="17"/>
      <c r="AI150" s="17"/>
      <c r="AJ150" s="17"/>
      <c r="AK150" s="17"/>
      <c r="AL150" s="19"/>
      <c r="AM150" s="19"/>
      <c r="AN150" s="19"/>
      <c r="AO150" s="19"/>
    </row>
    <row r="151" spans="3:41" x14ac:dyDescent="0.2"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F151" s="17"/>
      <c r="AG151" s="17"/>
      <c r="AH151" s="17"/>
      <c r="AI151" s="17"/>
      <c r="AJ151" s="17"/>
      <c r="AK151" s="17"/>
      <c r="AL151" s="19"/>
      <c r="AM151" s="19"/>
      <c r="AN151" s="19"/>
      <c r="AO151" s="19"/>
    </row>
    <row r="152" spans="3:41" x14ac:dyDescent="0.2"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F152" s="17"/>
      <c r="AG152" s="17"/>
      <c r="AH152" s="17"/>
      <c r="AI152" s="17"/>
      <c r="AJ152" s="17"/>
      <c r="AK152" s="17"/>
      <c r="AL152" s="19"/>
      <c r="AM152" s="19"/>
      <c r="AN152" s="19"/>
      <c r="AO152" s="19"/>
    </row>
    <row r="153" spans="3:41" x14ac:dyDescent="0.2"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F153" s="17"/>
      <c r="AG153" s="17"/>
      <c r="AH153" s="17"/>
      <c r="AI153" s="17"/>
      <c r="AJ153" s="17"/>
      <c r="AK153" s="17"/>
      <c r="AL153" s="19"/>
      <c r="AM153" s="19"/>
      <c r="AN153" s="19"/>
      <c r="AO153" s="19"/>
    </row>
    <row r="154" spans="3:41" x14ac:dyDescent="0.2"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F154" s="17"/>
      <c r="AG154" s="17"/>
      <c r="AH154" s="17"/>
      <c r="AI154" s="17"/>
      <c r="AJ154" s="17"/>
      <c r="AK154" s="17"/>
      <c r="AL154" s="19"/>
      <c r="AM154" s="19"/>
      <c r="AN154" s="19"/>
      <c r="AO154" s="19"/>
    </row>
    <row r="155" spans="3:41" x14ac:dyDescent="0.2"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F155" s="17"/>
      <c r="AG155" s="17"/>
      <c r="AH155" s="17"/>
      <c r="AI155" s="17"/>
      <c r="AJ155" s="17"/>
      <c r="AK155" s="17"/>
      <c r="AL155" s="19"/>
      <c r="AM155" s="19"/>
      <c r="AN155" s="19"/>
      <c r="AO155" s="19"/>
    </row>
    <row r="156" spans="3:41" x14ac:dyDescent="0.2"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F156" s="17"/>
      <c r="AG156" s="17"/>
      <c r="AH156" s="17"/>
      <c r="AI156" s="17"/>
      <c r="AJ156" s="17"/>
      <c r="AK156" s="17"/>
      <c r="AL156" s="19"/>
      <c r="AM156" s="19"/>
      <c r="AN156" s="19"/>
      <c r="AO156" s="19"/>
    </row>
    <row r="157" spans="3:41" x14ac:dyDescent="0.2"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F157" s="17"/>
      <c r="AG157" s="17"/>
      <c r="AH157" s="17"/>
      <c r="AI157" s="17"/>
      <c r="AJ157" s="17"/>
      <c r="AK157" s="17"/>
      <c r="AL157" s="19"/>
      <c r="AM157" s="19"/>
      <c r="AN157" s="19"/>
      <c r="AO157" s="19"/>
    </row>
    <row r="158" spans="3:41" x14ac:dyDescent="0.2"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F158" s="17"/>
      <c r="AG158" s="17"/>
      <c r="AH158" s="17"/>
      <c r="AI158" s="17"/>
      <c r="AJ158" s="17"/>
      <c r="AK158" s="17"/>
      <c r="AL158" s="19"/>
      <c r="AM158" s="19"/>
      <c r="AN158" s="19"/>
      <c r="AO158" s="19"/>
    </row>
    <row r="159" spans="3:41" x14ac:dyDescent="0.2"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F159" s="17"/>
      <c r="AG159" s="17"/>
      <c r="AH159" s="17"/>
      <c r="AI159" s="17"/>
      <c r="AJ159" s="17"/>
      <c r="AK159" s="17"/>
      <c r="AL159" s="19"/>
      <c r="AM159" s="19"/>
      <c r="AN159" s="19"/>
      <c r="AO159" s="19"/>
    </row>
    <row r="160" spans="3:41" x14ac:dyDescent="0.2"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F160" s="17"/>
      <c r="AG160" s="17"/>
      <c r="AH160" s="17"/>
      <c r="AI160" s="17"/>
      <c r="AJ160" s="17"/>
      <c r="AK160" s="17"/>
      <c r="AL160" s="19"/>
      <c r="AM160" s="19"/>
      <c r="AN160" s="19"/>
      <c r="AO160" s="19"/>
    </row>
    <row r="161" spans="10:41" x14ac:dyDescent="0.2"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F161" s="17"/>
      <c r="AG161" s="17"/>
      <c r="AH161" s="17"/>
      <c r="AI161" s="17"/>
      <c r="AJ161" s="17"/>
      <c r="AK161" s="17"/>
      <c r="AL161" s="19"/>
      <c r="AM161" s="19"/>
      <c r="AN161" s="19"/>
      <c r="AO161" s="19"/>
    </row>
    <row r="162" spans="10:41" x14ac:dyDescent="0.2"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  <c r="AF162" s="17"/>
      <c r="AG162" s="17"/>
      <c r="AH162" s="17"/>
      <c r="AI162" s="17"/>
      <c r="AJ162" s="17"/>
      <c r="AK162" s="17"/>
      <c r="AL162" s="19"/>
      <c r="AM162" s="19"/>
      <c r="AN162" s="19"/>
      <c r="AO162" s="19"/>
    </row>
    <row r="163" spans="10:41" x14ac:dyDescent="0.2"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F163" s="17"/>
      <c r="AG163" s="17"/>
      <c r="AH163" s="17"/>
      <c r="AI163" s="17"/>
      <c r="AJ163" s="17"/>
      <c r="AK163" s="17"/>
      <c r="AL163" s="19"/>
      <c r="AM163" s="19"/>
      <c r="AN163" s="19"/>
      <c r="AO163" s="19"/>
    </row>
    <row r="164" spans="10:41" x14ac:dyDescent="0.2"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F164" s="17"/>
      <c r="AG164" s="17"/>
      <c r="AH164" s="17"/>
      <c r="AI164" s="17"/>
      <c r="AJ164" s="17"/>
      <c r="AK164" s="17"/>
      <c r="AL164" s="19"/>
      <c r="AM164" s="19"/>
      <c r="AN164" s="19"/>
      <c r="AO164" s="19"/>
    </row>
    <row r="165" spans="10:41" x14ac:dyDescent="0.2"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F165" s="17"/>
      <c r="AG165" s="17"/>
      <c r="AH165" s="17"/>
      <c r="AI165" s="17"/>
      <c r="AJ165" s="17"/>
      <c r="AK165" s="17"/>
      <c r="AL165" s="19"/>
      <c r="AM165" s="19"/>
      <c r="AN165" s="19"/>
      <c r="AO165" s="19"/>
    </row>
    <row r="166" spans="10:41" x14ac:dyDescent="0.2"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F166" s="17"/>
      <c r="AG166" s="17"/>
      <c r="AH166" s="17"/>
      <c r="AI166" s="17"/>
      <c r="AJ166" s="17"/>
      <c r="AK166" s="17"/>
      <c r="AL166" s="19"/>
      <c r="AM166" s="19"/>
      <c r="AN166" s="19"/>
      <c r="AO166" s="19"/>
    </row>
    <row r="167" spans="10:41" x14ac:dyDescent="0.2"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  <c r="AE167" s="17"/>
      <c r="AF167" s="17"/>
      <c r="AG167" s="17"/>
      <c r="AH167" s="17"/>
      <c r="AI167" s="17"/>
      <c r="AJ167" s="17"/>
      <c r="AK167" s="17"/>
      <c r="AL167" s="19"/>
      <c r="AM167" s="19"/>
      <c r="AN167" s="19"/>
      <c r="AO167" s="19"/>
    </row>
    <row r="168" spans="10:41" x14ac:dyDescent="0.2"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  <c r="AE168" s="17"/>
      <c r="AF168" s="17"/>
      <c r="AG168" s="17"/>
      <c r="AH168" s="17"/>
      <c r="AI168" s="17"/>
      <c r="AJ168" s="17"/>
      <c r="AK168" s="17"/>
      <c r="AL168" s="19"/>
      <c r="AM168" s="19"/>
      <c r="AN168" s="19"/>
      <c r="AO168" s="19"/>
    </row>
    <row r="169" spans="10:41" x14ac:dyDescent="0.2"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F169" s="17"/>
      <c r="AG169" s="17"/>
      <c r="AH169" s="17"/>
      <c r="AI169" s="17"/>
      <c r="AJ169" s="17"/>
      <c r="AK169" s="17"/>
      <c r="AL169" s="19"/>
      <c r="AM169" s="19"/>
      <c r="AN169" s="19"/>
      <c r="AO169" s="19"/>
    </row>
    <row r="170" spans="10:41" x14ac:dyDescent="0.2"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F170" s="17"/>
      <c r="AG170" s="17"/>
      <c r="AH170" s="17"/>
      <c r="AI170" s="17"/>
      <c r="AJ170" s="17"/>
      <c r="AK170" s="17"/>
      <c r="AL170" s="19"/>
      <c r="AM170" s="19"/>
      <c r="AN170" s="19"/>
      <c r="AO170" s="19"/>
    </row>
    <row r="171" spans="10:41" x14ac:dyDescent="0.2">
      <c r="J171" s="17"/>
      <c r="K171" s="17"/>
      <c r="L171" s="17"/>
      <c r="M171" s="17"/>
      <c r="N171" s="17"/>
      <c r="O171" s="17"/>
      <c r="P171" s="17"/>
      <c r="Q171" s="17"/>
      <c r="Z171" s="17"/>
      <c r="AA171" s="17"/>
      <c r="AB171" s="17"/>
      <c r="AC171" s="17"/>
      <c r="AD171" s="17"/>
      <c r="AE171" s="17"/>
      <c r="AF171" s="17"/>
      <c r="AG171" s="17"/>
      <c r="AH171" s="17"/>
      <c r="AI171" s="17"/>
      <c r="AJ171" s="17"/>
      <c r="AK171" s="17"/>
      <c r="AL171" s="19"/>
      <c r="AM171" s="19"/>
      <c r="AN171" s="19"/>
      <c r="AO171" s="19"/>
    </row>
    <row r="172" spans="10:41" ht="14.25" x14ac:dyDescent="0.2">
      <c r="J172" s="17"/>
      <c r="K172" s="285" t="s">
        <v>140</v>
      </c>
      <c r="L172" s="286"/>
      <c r="M172" s="286"/>
      <c r="N172" s="287"/>
      <c r="O172" s="287"/>
      <c r="P172" s="288"/>
      <c r="Q172" s="17"/>
      <c r="Z172" s="17"/>
      <c r="AA172" s="17"/>
      <c r="AB172" s="17"/>
      <c r="AC172" s="17"/>
      <c r="AD172" s="17"/>
      <c r="AE172" s="17"/>
      <c r="AF172" s="17"/>
      <c r="AG172" s="17"/>
      <c r="AH172" s="17"/>
      <c r="AI172" s="17"/>
      <c r="AJ172" s="17"/>
      <c r="AK172" s="17"/>
      <c r="AL172" s="19"/>
      <c r="AM172" s="19"/>
      <c r="AN172" s="19"/>
      <c r="AO172" s="19"/>
    </row>
    <row r="173" spans="10:41" ht="15" x14ac:dyDescent="0.25">
      <c r="J173" s="17"/>
      <c r="K173" s="289" t="s">
        <v>121</v>
      </c>
      <c r="L173" s="290"/>
      <c r="M173" s="291" t="s">
        <v>14</v>
      </c>
      <c r="N173" s="292" t="s">
        <v>12</v>
      </c>
      <c r="O173" s="292" t="s">
        <v>13</v>
      </c>
      <c r="P173" s="290"/>
      <c r="Q173" s="17"/>
      <c r="Z173" s="17"/>
      <c r="AA173" s="17"/>
      <c r="AB173" s="17"/>
      <c r="AC173" s="17"/>
      <c r="AD173" s="17"/>
      <c r="AE173" s="17"/>
      <c r="AF173" s="17"/>
      <c r="AG173" s="17"/>
      <c r="AH173" s="17"/>
      <c r="AI173" s="17"/>
      <c r="AJ173" s="17"/>
      <c r="AK173" s="17"/>
      <c r="AL173" s="19"/>
      <c r="AM173" s="19"/>
      <c r="AN173" s="19"/>
      <c r="AO173" s="19"/>
    </row>
    <row r="174" spans="10:41" ht="15" x14ac:dyDescent="0.25">
      <c r="J174" s="17"/>
      <c r="K174" s="293" t="s">
        <v>141</v>
      </c>
      <c r="L174" s="294"/>
      <c r="M174" s="295">
        <v>0</v>
      </c>
      <c r="N174" s="296">
        <v>0</v>
      </c>
      <c r="O174" s="297">
        <v>0</v>
      </c>
      <c r="P174" s="298" t="s">
        <v>22</v>
      </c>
      <c r="Q174" s="17"/>
      <c r="Z174" s="17"/>
      <c r="AA174" s="17"/>
      <c r="AB174" s="17"/>
      <c r="AC174" s="17"/>
      <c r="AD174" s="17"/>
      <c r="AE174" s="17"/>
      <c r="AF174" s="17"/>
      <c r="AG174" s="17"/>
      <c r="AH174" s="17"/>
      <c r="AI174" s="17"/>
      <c r="AJ174" s="17"/>
      <c r="AK174" s="17"/>
      <c r="AL174" s="19"/>
      <c r="AM174" s="19"/>
      <c r="AN174" s="19"/>
      <c r="AO174" s="19"/>
    </row>
    <row r="175" spans="10:41" ht="15" x14ac:dyDescent="0.25">
      <c r="J175" s="17"/>
      <c r="K175" s="299" t="s">
        <v>142</v>
      </c>
      <c r="L175" s="300"/>
      <c r="M175" s="301">
        <v>1.46812450170974</v>
      </c>
      <c r="N175" s="302">
        <v>1.43166059795375</v>
      </c>
      <c r="O175" s="302">
        <v>1.0527997718193101</v>
      </c>
      <c r="P175" s="154" t="s">
        <v>46</v>
      </c>
      <c r="Q175" s="17"/>
      <c r="Z175" s="17"/>
      <c r="AA175" s="17"/>
      <c r="AB175" s="17"/>
      <c r="AC175" s="17"/>
      <c r="AD175" s="17"/>
      <c r="AE175" s="17"/>
      <c r="AF175" s="17"/>
      <c r="AG175" s="17"/>
      <c r="AH175" s="17"/>
      <c r="AI175" s="17"/>
      <c r="AJ175" s="17"/>
      <c r="AK175" s="17"/>
      <c r="AL175" s="19"/>
      <c r="AM175" s="19"/>
      <c r="AN175" s="19"/>
      <c r="AO175" s="19"/>
    </row>
    <row r="176" spans="10:41" ht="15" x14ac:dyDescent="0.25">
      <c r="J176" s="17"/>
      <c r="K176" s="299" t="s">
        <v>143</v>
      </c>
      <c r="L176" s="300"/>
      <c r="M176" s="301">
        <v>31.6904035461401</v>
      </c>
      <c r="N176" s="302">
        <v>31.6904035461401</v>
      </c>
      <c r="O176" s="302">
        <v>31.6904035461401</v>
      </c>
      <c r="P176" s="154" t="s">
        <v>27</v>
      </c>
      <c r="Q176" s="17"/>
      <c r="Z176" s="17"/>
      <c r="AA176" s="17"/>
      <c r="AB176" s="17"/>
      <c r="AC176" s="17"/>
      <c r="AD176" s="17"/>
      <c r="AE176" s="17"/>
      <c r="AF176" s="17"/>
      <c r="AG176" s="17"/>
      <c r="AH176" s="17"/>
      <c r="AI176" s="17"/>
      <c r="AJ176" s="17"/>
      <c r="AK176" s="17"/>
      <c r="AL176" s="19"/>
      <c r="AM176" s="19"/>
      <c r="AN176" s="19"/>
      <c r="AO176" s="19"/>
    </row>
    <row r="177" spans="10:41" ht="15" x14ac:dyDescent="0.25">
      <c r="J177" s="17"/>
      <c r="K177" s="299" t="s">
        <v>144</v>
      </c>
      <c r="L177" s="300"/>
      <c r="M177" s="301">
        <v>0.483333333333333</v>
      </c>
      <c r="N177" s="302">
        <v>0.483333333333333</v>
      </c>
      <c r="O177" s="302">
        <v>0.483333333333333</v>
      </c>
      <c r="P177" s="154" t="s">
        <v>46</v>
      </c>
      <c r="Q177" s="17"/>
      <c r="Z177" s="17"/>
      <c r="AA177" s="17"/>
      <c r="AB177" s="17"/>
      <c r="AC177" s="17"/>
      <c r="AD177" s="17"/>
      <c r="AE177" s="17"/>
      <c r="AF177" s="17"/>
      <c r="AG177" s="17"/>
      <c r="AH177" s="17"/>
      <c r="AI177" s="17"/>
      <c r="AJ177" s="17"/>
      <c r="AK177" s="17"/>
      <c r="AL177" s="19"/>
      <c r="AM177" s="19"/>
      <c r="AN177" s="19"/>
      <c r="AO177" s="19"/>
    </row>
    <row r="178" spans="10:41" ht="15" x14ac:dyDescent="0.25">
      <c r="J178" s="17"/>
      <c r="K178" s="299" t="s">
        <v>145</v>
      </c>
      <c r="L178" s="300"/>
      <c r="M178" s="301">
        <v>5.5576225982233103</v>
      </c>
      <c r="N178" s="302">
        <v>5.5205099264488702</v>
      </c>
      <c r="O178" s="302">
        <v>5.5205099264488702</v>
      </c>
      <c r="P178" s="154" t="s">
        <v>27</v>
      </c>
      <c r="Q178" s="17"/>
      <c r="Z178" s="17"/>
      <c r="AA178" s="17"/>
      <c r="AB178" s="17"/>
      <c r="AC178" s="17"/>
      <c r="AD178" s="17"/>
      <c r="AE178" s="17"/>
      <c r="AF178" s="17"/>
      <c r="AG178" s="17"/>
      <c r="AH178" s="17"/>
      <c r="AI178" s="17"/>
      <c r="AJ178" s="17"/>
      <c r="AK178" s="17"/>
      <c r="AL178" s="19"/>
      <c r="AM178" s="19"/>
      <c r="AN178" s="19"/>
      <c r="AO178" s="19"/>
    </row>
    <row r="179" spans="10:41" ht="15" x14ac:dyDescent="0.25">
      <c r="J179" s="17"/>
      <c r="K179" s="299" t="s">
        <v>146</v>
      </c>
      <c r="L179" s="300"/>
      <c r="M179" s="301">
        <v>0.534270603931701</v>
      </c>
      <c r="N179" s="302">
        <v>0.534270603931701</v>
      </c>
      <c r="O179" s="302">
        <v>0.534270603931701</v>
      </c>
      <c r="P179" s="154" t="s">
        <v>73</v>
      </c>
      <c r="Q179" s="17"/>
      <c r="Z179" s="17"/>
      <c r="AA179" s="17"/>
      <c r="AB179" s="17"/>
      <c r="AC179" s="17"/>
      <c r="AD179" s="17"/>
      <c r="AE179" s="17"/>
      <c r="AF179" s="17"/>
      <c r="AG179" s="17"/>
      <c r="AH179" s="17"/>
      <c r="AI179" s="17"/>
      <c r="AJ179" s="17"/>
      <c r="AK179" s="17"/>
      <c r="AL179" s="19"/>
      <c r="AM179" s="19"/>
      <c r="AN179" s="19"/>
      <c r="AO179" s="19"/>
    </row>
    <row r="180" spans="10:41" ht="15" x14ac:dyDescent="0.25">
      <c r="J180" s="17"/>
      <c r="K180" s="299" t="s">
        <v>147</v>
      </c>
      <c r="L180" s="300"/>
      <c r="M180" s="303">
        <v>3.3875263167170398E-3</v>
      </c>
      <c r="N180" s="304">
        <v>1.9794491414887101E-2</v>
      </c>
      <c r="O180" s="304">
        <v>5.5073128258836396E-3</v>
      </c>
      <c r="P180" s="154" t="s">
        <v>148</v>
      </c>
      <c r="Q180" s="17"/>
      <c r="Z180" s="17"/>
      <c r="AA180" s="17"/>
      <c r="AB180" s="17"/>
      <c r="AC180" s="17"/>
      <c r="AD180" s="17"/>
      <c r="AE180" s="17"/>
      <c r="AF180" s="17"/>
      <c r="AG180" s="17"/>
      <c r="AH180" s="17"/>
      <c r="AI180" s="17"/>
      <c r="AJ180" s="17"/>
      <c r="AK180" s="17"/>
      <c r="AL180" s="19"/>
      <c r="AM180" s="19"/>
      <c r="AN180" s="19"/>
      <c r="AO180" s="19"/>
    </row>
    <row r="181" spans="10:41" ht="15" x14ac:dyDescent="0.25">
      <c r="J181" s="17"/>
      <c r="K181" s="299" t="s">
        <v>149</v>
      </c>
      <c r="L181" s="300"/>
      <c r="M181" s="303">
        <v>2.62702358813022E-5</v>
      </c>
      <c r="N181" s="304">
        <v>8.9638014762760402E-5</v>
      </c>
      <c r="O181" s="304">
        <v>2.9603424308491501E-5</v>
      </c>
      <c r="P181" s="154" t="s">
        <v>150</v>
      </c>
      <c r="Q181" s="17"/>
      <c r="Z181" s="17"/>
      <c r="AA181" s="17"/>
      <c r="AB181" s="17"/>
      <c r="AC181" s="17"/>
      <c r="AD181" s="17"/>
      <c r="AE181" s="17"/>
      <c r="AF181" s="17"/>
      <c r="AG181" s="17"/>
      <c r="AH181" s="17"/>
      <c r="AI181" s="17"/>
      <c r="AJ181" s="17"/>
      <c r="AK181" s="17"/>
      <c r="AL181" s="19"/>
      <c r="AM181" s="19"/>
      <c r="AN181" s="19"/>
      <c r="AO181" s="19"/>
    </row>
    <row r="182" spans="10:41" ht="15" x14ac:dyDescent="0.25">
      <c r="J182" s="17"/>
      <c r="K182" s="299" t="s">
        <v>151</v>
      </c>
      <c r="L182" s="300"/>
      <c r="M182" s="301">
        <v>50.698596745860101</v>
      </c>
      <c r="N182" s="302">
        <v>165.79001582853499</v>
      </c>
      <c r="O182" s="302">
        <v>30.320226044417101</v>
      </c>
      <c r="P182" s="154" t="s">
        <v>48</v>
      </c>
      <c r="Q182" s="17"/>
      <c r="Z182" s="17"/>
      <c r="AA182" s="17"/>
      <c r="AB182" s="17"/>
      <c r="AC182" s="17"/>
      <c r="AD182" s="17"/>
      <c r="AE182" s="17"/>
      <c r="AF182" s="17"/>
      <c r="AG182" s="17"/>
      <c r="AH182" s="17"/>
      <c r="AI182" s="17"/>
      <c r="AJ182" s="17"/>
      <c r="AK182" s="17"/>
      <c r="AL182" s="19"/>
      <c r="AM182" s="19"/>
      <c r="AN182" s="19"/>
      <c r="AO182" s="19"/>
    </row>
    <row r="183" spans="10:41" ht="15" x14ac:dyDescent="0.25">
      <c r="J183" s="17"/>
      <c r="K183" s="299" t="s">
        <v>152</v>
      </c>
      <c r="L183" s="300"/>
      <c r="M183" s="301">
        <v>0</v>
      </c>
      <c r="N183" s="302">
        <v>0</v>
      </c>
      <c r="O183" s="305">
        <v>0</v>
      </c>
      <c r="P183" s="154" t="s">
        <v>48</v>
      </c>
      <c r="Q183" s="17"/>
      <c r="Z183" s="17"/>
      <c r="AA183" s="17"/>
      <c r="AB183" s="17"/>
      <c r="AC183" s="17"/>
      <c r="AD183" s="17"/>
      <c r="AE183" s="17"/>
      <c r="AF183" s="17"/>
      <c r="AG183" s="17"/>
      <c r="AH183" s="17"/>
      <c r="AI183" s="17"/>
      <c r="AJ183" s="17"/>
      <c r="AK183" s="17"/>
      <c r="AL183" s="19"/>
      <c r="AM183" s="19"/>
      <c r="AN183" s="19"/>
      <c r="AO183" s="19"/>
    </row>
    <row r="184" spans="10:41" ht="15" x14ac:dyDescent="0.25">
      <c r="J184" s="17"/>
      <c r="K184" s="299" t="s">
        <v>153</v>
      </c>
      <c r="L184" s="300"/>
      <c r="M184" s="301">
        <v>0</v>
      </c>
      <c r="N184" s="302">
        <v>0</v>
      </c>
      <c r="O184" s="302">
        <v>0</v>
      </c>
      <c r="P184" s="154" t="s">
        <v>48</v>
      </c>
      <c r="Q184" s="17"/>
      <c r="Z184" s="17"/>
      <c r="AA184" s="17"/>
      <c r="AB184" s="17"/>
      <c r="AC184" s="17"/>
      <c r="AD184" s="17"/>
      <c r="AE184" s="17"/>
      <c r="AF184" s="17"/>
      <c r="AG184" s="17"/>
      <c r="AH184" s="17"/>
      <c r="AI184" s="17"/>
      <c r="AJ184" s="17"/>
      <c r="AK184" s="17"/>
      <c r="AL184" s="19"/>
      <c r="AM184" s="19"/>
      <c r="AN184" s="19"/>
      <c r="AO184" s="19"/>
    </row>
    <row r="185" spans="10:41" ht="15" x14ac:dyDescent="0.25">
      <c r="J185" s="17"/>
      <c r="K185" s="306" t="s">
        <v>154</v>
      </c>
      <c r="L185" s="307"/>
      <c r="M185" s="303">
        <v>0</v>
      </c>
      <c r="N185" s="304">
        <v>0</v>
      </c>
      <c r="O185" s="304">
        <v>0</v>
      </c>
      <c r="P185" s="154" t="s">
        <v>155</v>
      </c>
      <c r="Q185" s="17"/>
      <c r="Z185" s="17"/>
      <c r="AA185" s="17"/>
      <c r="AB185" s="17"/>
      <c r="AC185" s="17"/>
      <c r="AD185" s="17"/>
      <c r="AE185" s="17"/>
      <c r="AF185" s="17"/>
      <c r="AG185" s="17"/>
      <c r="AH185" s="17"/>
      <c r="AI185" s="17"/>
      <c r="AJ185" s="17"/>
      <c r="AK185" s="17"/>
      <c r="AL185" s="19"/>
      <c r="AM185" s="19"/>
      <c r="AN185" s="19"/>
      <c r="AO185" s="19"/>
    </row>
    <row r="186" spans="10:41" ht="15" x14ac:dyDescent="0.25">
      <c r="J186" s="17"/>
      <c r="K186" s="306" t="s">
        <v>156</v>
      </c>
      <c r="L186" s="307"/>
      <c r="M186" s="303">
        <v>4.75165211741584E+16</v>
      </c>
      <c r="N186" s="304">
        <v>5.94386350290462E+16</v>
      </c>
      <c r="O186" s="304">
        <v>5.5338815295437104E+16</v>
      </c>
      <c r="P186" s="154" t="s">
        <v>157</v>
      </c>
      <c r="Q186" s="17"/>
      <c r="Z186" s="17"/>
      <c r="AA186" s="17"/>
      <c r="AB186" s="17"/>
      <c r="AC186" s="17"/>
      <c r="AD186" s="17"/>
      <c r="AE186" s="17"/>
      <c r="AF186" s="17"/>
      <c r="AG186" s="17"/>
      <c r="AH186" s="17"/>
      <c r="AI186" s="17"/>
      <c r="AJ186" s="17"/>
      <c r="AK186" s="17"/>
      <c r="AL186" s="19"/>
      <c r="AM186" s="19"/>
      <c r="AN186" s="19"/>
      <c r="AO186" s="19"/>
    </row>
    <row r="187" spans="10:41" ht="15" x14ac:dyDescent="0.25">
      <c r="J187" s="17"/>
      <c r="K187" s="299" t="s">
        <v>158</v>
      </c>
      <c r="L187" s="300"/>
      <c r="M187" s="301">
        <v>0.55498069110389703</v>
      </c>
      <c r="N187" s="302">
        <v>0.53565082523648699</v>
      </c>
      <c r="O187" s="302">
        <v>0.16146665614458999</v>
      </c>
      <c r="P187" s="154" t="s">
        <v>46</v>
      </c>
      <c r="Q187" s="17"/>
      <c r="Z187" s="17"/>
      <c r="AA187" s="17"/>
      <c r="AB187" s="17"/>
      <c r="AC187" s="17"/>
      <c r="AD187" s="17"/>
      <c r="AE187" s="17"/>
      <c r="AF187" s="17"/>
      <c r="AG187" s="17"/>
      <c r="AH187" s="17"/>
      <c r="AI187" s="17"/>
      <c r="AJ187" s="17"/>
      <c r="AK187" s="17"/>
      <c r="AL187" s="19"/>
      <c r="AM187" s="19"/>
      <c r="AN187" s="19"/>
      <c r="AO187" s="19"/>
    </row>
    <row r="188" spans="10:41" ht="15" x14ac:dyDescent="0.25">
      <c r="J188" s="17"/>
      <c r="K188" s="308" t="s">
        <v>159</v>
      </c>
      <c r="L188" s="309"/>
      <c r="M188" s="310">
        <v>0</v>
      </c>
      <c r="N188" s="311">
        <v>0</v>
      </c>
      <c r="O188" s="311">
        <v>0</v>
      </c>
      <c r="P188" s="163" t="s">
        <v>160</v>
      </c>
      <c r="Q188" s="17"/>
      <c r="Z188" s="17"/>
      <c r="AA188" s="17"/>
      <c r="AB188" s="17"/>
      <c r="AC188" s="17"/>
      <c r="AD188" s="17"/>
      <c r="AE188" s="17"/>
      <c r="AF188" s="17"/>
      <c r="AG188" s="17"/>
      <c r="AH188" s="17"/>
      <c r="AI188" s="17"/>
      <c r="AJ188" s="17"/>
      <c r="AK188" s="17"/>
      <c r="AL188" s="19"/>
      <c r="AM188" s="19"/>
      <c r="AN188" s="19"/>
      <c r="AO188" s="19"/>
    </row>
    <row r="189" spans="10:41" x14ac:dyDescent="0.2">
      <c r="J189" s="17"/>
      <c r="K189" s="17"/>
      <c r="L189" s="17"/>
      <c r="M189" s="17"/>
      <c r="N189" s="17"/>
      <c r="O189" s="17"/>
      <c r="P189" s="17"/>
      <c r="Q189" s="17"/>
      <c r="Z189" s="17"/>
      <c r="AA189" s="17"/>
      <c r="AB189" s="17"/>
      <c r="AC189" s="17"/>
      <c r="AD189" s="17"/>
      <c r="AE189" s="17"/>
      <c r="AF189" s="17"/>
      <c r="AG189" s="17"/>
      <c r="AH189" s="17"/>
      <c r="AI189" s="17"/>
      <c r="AJ189" s="17"/>
      <c r="AK189" s="17"/>
      <c r="AL189" s="19"/>
      <c r="AM189" s="19"/>
      <c r="AN189" s="19"/>
      <c r="AO189" s="19"/>
    </row>
    <row r="190" spans="10:41" x14ac:dyDescent="0.2">
      <c r="J190" s="17"/>
      <c r="K190" s="17"/>
      <c r="L190" s="17"/>
      <c r="M190" s="17"/>
      <c r="N190" s="17"/>
      <c r="O190" s="17"/>
      <c r="P190" s="17"/>
      <c r="Q190" s="17"/>
      <c r="Z190" s="17"/>
      <c r="AA190" s="17"/>
      <c r="AB190" s="17"/>
      <c r="AC190" s="17"/>
      <c r="AD190" s="17"/>
      <c r="AE190" s="17"/>
      <c r="AF190" s="17"/>
      <c r="AG190" s="17"/>
      <c r="AH190" s="17"/>
      <c r="AI190" s="17"/>
      <c r="AJ190" s="17"/>
      <c r="AK190" s="17"/>
      <c r="AL190" s="19"/>
      <c r="AM190" s="19"/>
      <c r="AN190" s="19"/>
      <c r="AO190" s="19"/>
    </row>
    <row r="191" spans="10:41" x14ac:dyDescent="0.2"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F191" s="17"/>
      <c r="AG191" s="17"/>
      <c r="AH191" s="17"/>
      <c r="AI191" s="17"/>
      <c r="AJ191" s="17"/>
      <c r="AK191" s="17"/>
      <c r="AL191" s="19"/>
      <c r="AM191" s="19"/>
      <c r="AN191" s="19"/>
      <c r="AO191" s="19"/>
    </row>
    <row r="192" spans="10:41" x14ac:dyDescent="0.2"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F192" s="17"/>
      <c r="AG192" s="17"/>
      <c r="AH192" s="17"/>
      <c r="AI192" s="17"/>
      <c r="AJ192" s="17"/>
      <c r="AK192" s="17"/>
      <c r="AL192" s="19"/>
      <c r="AM192" s="19"/>
      <c r="AN192" s="19"/>
      <c r="AO192" s="19"/>
    </row>
    <row r="193" spans="10:41" x14ac:dyDescent="0.2"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F193" s="17"/>
      <c r="AG193" s="17"/>
      <c r="AH193" s="17"/>
      <c r="AI193" s="17"/>
      <c r="AJ193" s="17"/>
      <c r="AK193" s="17"/>
      <c r="AL193" s="19"/>
      <c r="AM193" s="19"/>
      <c r="AN193" s="19"/>
      <c r="AO193" s="19"/>
    </row>
    <row r="194" spans="10:41" x14ac:dyDescent="0.2"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  <c r="AE194" s="17"/>
      <c r="AF194" s="17"/>
      <c r="AG194" s="17"/>
      <c r="AH194" s="17"/>
      <c r="AI194" s="17"/>
      <c r="AJ194" s="17"/>
      <c r="AK194" s="17"/>
      <c r="AL194" s="19"/>
      <c r="AM194" s="19"/>
      <c r="AN194" s="19"/>
      <c r="AO194" s="19"/>
    </row>
    <row r="195" spans="10:41" ht="15" x14ac:dyDescent="0.25">
      <c r="J195" s="17"/>
      <c r="K195" s="39" t="s">
        <v>161</v>
      </c>
      <c r="L195" s="312"/>
      <c r="M195" s="312"/>
      <c r="N195" s="313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  <c r="AE195" s="17"/>
      <c r="AF195" s="17"/>
      <c r="AG195" s="17"/>
      <c r="AH195" s="17"/>
      <c r="AI195" s="17"/>
      <c r="AJ195" s="17"/>
      <c r="AK195" s="17"/>
      <c r="AL195" s="19"/>
      <c r="AM195" s="19"/>
      <c r="AN195" s="19"/>
      <c r="AO195" s="19"/>
    </row>
    <row r="196" spans="10:41" ht="15" x14ac:dyDescent="0.25">
      <c r="J196" s="17"/>
      <c r="K196" s="229" t="s">
        <v>162</v>
      </c>
      <c r="L196" s="314"/>
      <c r="M196" s="315">
        <v>42.483120836674203</v>
      </c>
      <c r="N196" s="154" t="s">
        <v>46</v>
      </c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  <c r="AE196" s="17"/>
      <c r="AF196" s="17"/>
      <c r="AG196" s="17"/>
      <c r="AH196" s="17"/>
      <c r="AI196" s="17"/>
      <c r="AJ196" s="17"/>
      <c r="AK196" s="17"/>
      <c r="AL196" s="19"/>
      <c r="AM196" s="19"/>
      <c r="AN196" s="19"/>
      <c r="AO196" s="19"/>
    </row>
    <row r="197" spans="10:41" ht="15" x14ac:dyDescent="0.25">
      <c r="J197" s="17"/>
      <c r="K197" s="229" t="s">
        <v>163</v>
      </c>
      <c r="L197" s="314"/>
      <c r="M197" s="315">
        <v>5.9476369171343801</v>
      </c>
      <c r="N197" s="154" t="s">
        <v>46</v>
      </c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  <c r="AE197" s="17"/>
      <c r="AF197" s="17"/>
      <c r="AG197" s="17"/>
      <c r="AH197" s="17"/>
      <c r="AI197" s="17"/>
      <c r="AJ197" s="17"/>
      <c r="AK197" s="17"/>
      <c r="AL197" s="19"/>
      <c r="AM197" s="19"/>
      <c r="AN197" s="19"/>
      <c r="AO197" s="19"/>
    </row>
    <row r="198" spans="10:41" ht="15" x14ac:dyDescent="0.25">
      <c r="J198" s="17"/>
      <c r="K198" s="229" t="s">
        <v>164</v>
      </c>
      <c r="L198" s="314"/>
      <c r="M198" s="316">
        <v>3.0244684703118101</v>
      </c>
      <c r="N198" s="154" t="s">
        <v>48</v>
      </c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  <c r="AE198" s="17"/>
      <c r="AF198" s="17"/>
      <c r="AG198" s="17"/>
      <c r="AH198" s="17"/>
      <c r="AI198" s="17"/>
      <c r="AJ198" s="17"/>
      <c r="AK198" s="17"/>
      <c r="AL198" s="19"/>
      <c r="AM198" s="19"/>
      <c r="AN198" s="19"/>
      <c r="AO198" s="19"/>
    </row>
    <row r="199" spans="10:41" ht="15" x14ac:dyDescent="0.25">
      <c r="J199" s="17"/>
      <c r="K199" s="317" t="s">
        <v>165</v>
      </c>
      <c r="L199" s="318"/>
      <c r="M199" s="319">
        <v>2.6447719298770697E-4</v>
      </c>
      <c r="N199" s="320" t="s">
        <v>48</v>
      </c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  <c r="AE199" s="17"/>
      <c r="AF199" s="17"/>
      <c r="AG199" s="17"/>
      <c r="AH199" s="17"/>
      <c r="AI199" s="17"/>
      <c r="AJ199" s="17"/>
      <c r="AK199" s="17"/>
      <c r="AL199" s="19"/>
      <c r="AM199" s="19"/>
      <c r="AN199" s="19"/>
      <c r="AO199" s="19"/>
    </row>
    <row r="200" spans="10:41" ht="15" x14ac:dyDescent="0.25">
      <c r="J200" s="17"/>
      <c r="K200" s="321" t="s">
        <v>166</v>
      </c>
      <c r="L200" s="322"/>
      <c r="M200" s="323" t="s">
        <v>167</v>
      </c>
      <c r="N200" s="163" t="s">
        <v>46</v>
      </c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17"/>
      <c r="AD200" s="17"/>
      <c r="AE200" s="17"/>
      <c r="AF200" s="17"/>
      <c r="AG200" s="17"/>
      <c r="AH200" s="17"/>
      <c r="AI200" s="17"/>
      <c r="AJ200" s="17"/>
      <c r="AK200" s="17"/>
      <c r="AL200" s="19"/>
      <c r="AM200" s="19"/>
      <c r="AN200" s="19"/>
      <c r="AO200" s="19"/>
    </row>
    <row r="201" spans="10:41" x14ac:dyDescent="0.2">
      <c r="J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  <c r="AE201" s="17"/>
      <c r="AF201" s="17"/>
      <c r="AG201" s="17"/>
      <c r="AH201" s="17"/>
      <c r="AI201" s="17"/>
      <c r="AJ201" s="17"/>
      <c r="AK201" s="17"/>
      <c r="AL201" s="19"/>
      <c r="AM201" s="19"/>
      <c r="AN201" s="19"/>
      <c r="AO201" s="19"/>
    </row>
    <row r="202" spans="10:41" x14ac:dyDescent="0.2">
      <c r="J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  <c r="AE202" s="17"/>
      <c r="AF202" s="17"/>
      <c r="AG202" s="17"/>
      <c r="AH202" s="17"/>
      <c r="AI202" s="17"/>
      <c r="AJ202" s="17"/>
      <c r="AK202" s="17"/>
      <c r="AL202" s="19"/>
      <c r="AM202" s="19"/>
      <c r="AN202" s="19"/>
      <c r="AO202" s="19"/>
    </row>
    <row r="203" spans="10:41" x14ac:dyDescent="0.2">
      <c r="J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  <c r="AE203" s="17"/>
      <c r="AF203" s="17"/>
      <c r="AG203" s="17"/>
      <c r="AH203" s="17"/>
      <c r="AI203" s="17"/>
      <c r="AJ203" s="17"/>
      <c r="AK203" s="17"/>
      <c r="AL203" s="19"/>
      <c r="AM203" s="19"/>
      <c r="AN203" s="19"/>
      <c r="AO203" s="19"/>
    </row>
    <row r="204" spans="10:41" x14ac:dyDescent="0.2"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  <c r="AE204" s="17"/>
      <c r="AF204" s="17"/>
      <c r="AG204" s="17"/>
      <c r="AH204" s="17"/>
      <c r="AI204" s="17"/>
      <c r="AJ204" s="17"/>
      <c r="AK204" s="17"/>
      <c r="AL204" s="19"/>
      <c r="AM204" s="19"/>
      <c r="AN204" s="19"/>
      <c r="AO204" s="19"/>
    </row>
    <row r="205" spans="10:41" x14ac:dyDescent="0.2"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  <c r="AC205" s="17"/>
      <c r="AD205" s="17"/>
      <c r="AE205" s="17"/>
      <c r="AF205" s="17"/>
      <c r="AG205" s="17"/>
      <c r="AH205" s="17"/>
      <c r="AI205" s="17"/>
      <c r="AJ205" s="17"/>
      <c r="AK205" s="17"/>
      <c r="AL205" s="19"/>
      <c r="AM205" s="19"/>
      <c r="AN205" s="19"/>
      <c r="AO205" s="19"/>
    </row>
    <row r="206" spans="10:41" x14ac:dyDescent="0.2"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  <c r="AE206" s="17"/>
      <c r="AF206" s="17"/>
      <c r="AG206" s="17"/>
      <c r="AH206" s="17"/>
      <c r="AI206" s="17"/>
      <c r="AJ206" s="17"/>
      <c r="AK206" s="17"/>
      <c r="AL206" s="19"/>
      <c r="AM206" s="19"/>
      <c r="AN206" s="19"/>
      <c r="AO206" s="19"/>
    </row>
    <row r="207" spans="10:41" x14ac:dyDescent="0.2">
      <c r="K207" s="324" t="s">
        <v>168</v>
      </c>
      <c r="L207" s="325"/>
      <c r="M207" s="325"/>
      <c r="N207" s="325"/>
      <c r="O207" s="326"/>
      <c r="P207" s="192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  <c r="AC207" s="17"/>
      <c r="AD207" s="17"/>
      <c r="AE207" s="17"/>
      <c r="AF207" s="17"/>
      <c r="AG207" s="17"/>
      <c r="AH207" s="17"/>
      <c r="AI207" s="17"/>
      <c r="AJ207" s="17"/>
      <c r="AK207" s="17"/>
      <c r="AL207" s="19"/>
      <c r="AM207" s="19"/>
      <c r="AN207" s="19"/>
      <c r="AO207" s="19"/>
    </row>
    <row r="208" spans="10:41" x14ac:dyDescent="0.2">
      <c r="K208" s="327" t="s">
        <v>169</v>
      </c>
      <c r="L208" s="328"/>
      <c r="M208" s="329" t="s">
        <v>14</v>
      </c>
      <c r="N208" s="330" t="s">
        <v>12</v>
      </c>
      <c r="O208" s="331" t="s">
        <v>13</v>
      </c>
      <c r="P208" s="332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  <c r="AC208" s="17"/>
      <c r="AD208" s="17"/>
      <c r="AE208" s="17"/>
      <c r="AF208" s="17"/>
      <c r="AG208" s="17"/>
      <c r="AH208" s="17"/>
      <c r="AI208" s="17"/>
      <c r="AJ208" s="17"/>
      <c r="AK208" s="17"/>
      <c r="AL208" s="19"/>
      <c r="AM208" s="19"/>
      <c r="AN208" s="19"/>
      <c r="AO208" s="19"/>
    </row>
    <row r="209" spans="11:41" x14ac:dyDescent="0.2">
      <c r="K209" s="333" t="s">
        <v>170</v>
      </c>
      <c r="L209" s="334"/>
      <c r="M209" s="335">
        <v>0</v>
      </c>
      <c r="N209" s="336">
        <v>0</v>
      </c>
      <c r="O209" s="337">
        <v>0</v>
      </c>
      <c r="P209" s="338" t="s">
        <v>48</v>
      </c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  <c r="AC209" s="17"/>
      <c r="AD209" s="17"/>
      <c r="AE209" s="17"/>
      <c r="AF209" s="17"/>
      <c r="AG209" s="17"/>
      <c r="AH209" s="17"/>
      <c r="AI209" s="17"/>
      <c r="AJ209" s="17"/>
      <c r="AK209" s="17"/>
      <c r="AL209" s="19"/>
      <c r="AM209" s="19"/>
      <c r="AN209" s="19"/>
      <c r="AO209" s="19"/>
    </row>
    <row r="210" spans="11:41" x14ac:dyDescent="0.2">
      <c r="K210" s="333" t="s">
        <v>171</v>
      </c>
      <c r="L210" s="334"/>
      <c r="M210" s="335">
        <v>28.2581037759808</v>
      </c>
      <c r="N210" s="336">
        <v>35.959584354748202</v>
      </c>
      <c r="O210" s="335">
        <v>26.094450960077499</v>
      </c>
      <c r="P210" s="338" t="s">
        <v>48</v>
      </c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  <c r="AC210" s="17"/>
      <c r="AD210" s="17"/>
      <c r="AE210" s="17"/>
      <c r="AF210" s="17"/>
      <c r="AG210" s="17"/>
      <c r="AH210" s="17"/>
      <c r="AI210" s="17"/>
      <c r="AJ210" s="17"/>
      <c r="AK210" s="17"/>
      <c r="AL210" s="19"/>
      <c r="AM210" s="19"/>
      <c r="AN210" s="19"/>
      <c r="AO210" s="19"/>
    </row>
    <row r="211" spans="11:41" x14ac:dyDescent="0.2">
      <c r="K211" s="333" t="s">
        <v>172</v>
      </c>
      <c r="L211" s="339"/>
      <c r="M211" s="335">
        <v>3.1621710154356402</v>
      </c>
      <c r="N211" s="336">
        <v>4.67323999602581</v>
      </c>
      <c r="O211" s="335">
        <v>5.2287685699191897</v>
      </c>
      <c r="P211" s="338" t="s">
        <v>48</v>
      </c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  <c r="AC211" s="17"/>
      <c r="AD211" s="17"/>
      <c r="AE211" s="17"/>
      <c r="AF211" s="17"/>
      <c r="AG211" s="17"/>
      <c r="AH211" s="17"/>
      <c r="AI211" s="17"/>
      <c r="AJ211" s="17"/>
      <c r="AK211" s="17"/>
      <c r="AL211" s="19"/>
      <c r="AM211" s="19"/>
      <c r="AN211" s="19"/>
      <c r="AO211" s="19"/>
    </row>
    <row r="212" spans="11:41" x14ac:dyDescent="0.2">
      <c r="K212" s="333" t="s">
        <v>173</v>
      </c>
      <c r="L212" s="334"/>
      <c r="M212" s="335">
        <v>31.420274791416499</v>
      </c>
      <c r="N212" s="336">
        <v>40.632824350774001</v>
      </c>
      <c r="O212" s="335">
        <v>31.323219529996699</v>
      </c>
      <c r="P212" s="338" t="s">
        <v>48</v>
      </c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/>
      <c r="AD212" s="17"/>
      <c r="AE212" s="17"/>
      <c r="AF212" s="17"/>
      <c r="AG212" s="17"/>
      <c r="AH212" s="17"/>
      <c r="AI212" s="17"/>
      <c r="AJ212" s="17"/>
      <c r="AK212" s="17"/>
      <c r="AL212" s="19"/>
      <c r="AM212" s="19"/>
      <c r="AN212" s="19"/>
      <c r="AO212" s="19"/>
    </row>
    <row r="213" spans="11:41" x14ac:dyDescent="0.2">
      <c r="K213" s="333" t="s">
        <v>174</v>
      </c>
      <c r="L213" s="334"/>
      <c r="M213" s="335">
        <v>0</v>
      </c>
      <c r="N213" s="336">
        <v>0</v>
      </c>
      <c r="O213" s="335">
        <v>0</v>
      </c>
      <c r="P213" s="338" t="s">
        <v>175</v>
      </c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  <c r="AC213" s="17"/>
      <c r="AD213" s="17"/>
      <c r="AE213" s="17"/>
      <c r="AF213" s="17"/>
      <c r="AG213" s="17"/>
      <c r="AH213" s="17"/>
      <c r="AI213" s="17"/>
      <c r="AJ213" s="17"/>
      <c r="AK213" s="17"/>
      <c r="AL213" s="19"/>
      <c r="AM213" s="19"/>
      <c r="AN213" s="19"/>
      <c r="AO213" s="19"/>
    </row>
    <row r="214" spans="11:41" x14ac:dyDescent="0.2">
      <c r="K214" s="333" t="s">
        <v>176</v>
      </c>
      <c r="L214" s="334"/>
      <c r="M214" s="335">
        <v>0</v>
      </c>
      <c r="N214" s="336">
        <v>0</v>
      </c>
      <c r="O214" s="335">
        <v>0</v>
      </c>
      <c r="P214" s="338" t="s">
        <v>175</v>
      </c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  <c r="AC214" s="17"/>
      <c r="AD214" s="17"/>
      <c r="AE214" s="17"/>
      <c r="AF214" s="17"/>
      <c r="AG214" s="17"/>
      <c r="AH214" s="17"/>
      <c r="AI214" s="17"/>
      <c r="AJ214" s="17"/>
      <c r="AK214" s="17"/>
      <c r="AL214" s="19"/>
      <c r="AM214" s="19"/>
      <c r="AN214" s="19"/>
      <c r="AO214" s="19"/>
    </row>
    <row r="215" spans="11:41" x14ac:dyDescent="0.2">
      <c r="K215" s="340" t="s">
        <v>177</v>
      </c>
      <c r="L215" s="341"/>
      <c r="M215" s="342">
        <v>0</v>
      </c>
      <c r="N215" s="343">
        <v>0</v>
      </c>
      <c r="O215" s="342">
        <v>0</v>
      </c>
      <c r="P215" s="344" t="s">
        <v>46</v>
      </c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  <c r="AC215" s="17"/>
      <c r="AD215" s="17"/>
      <c r="AE215" s="17"/>
      <c r="AF215" s="17"/>
      <c r="AG215" s="17"/>
      <c r="AH215" s="17"/>
      <c r="AI215" s="17"/>
      <c r="AJ215" s="17"/>
      <c r="AK215" s="17"/>
      <c r="AL215" s="19"/>
      <c r="AM215" s="19"/>
      <c r="AN215" s="19"/>
      <c r="AO215" s="19"/>
    </row>
    <row r="216" spans="11:41" x14ac:dyDescent="0.2"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  <c r="AC216" s="17"/>
      <c r="AD216" s="17"/>
      <c r="AE216" s="17"/>
      <c r="AF216" s="17"/>
      <c r="AG216" s="17"/>
      <c r="AH216" s="17"/>
      <c r="AI216" s="17"/>
      <c r="AJ216" s="17"/>
      <c r="AK216" s="17"/>
      <c r="AL216" s="19"/>
      <c r="AM216" s="19"/>
      <c r="AN216" s="19"/>
      <c r="AO216" s="19"/>
    </row>
    <row r="217" spans="11:41" x14ac:dyDescent="0.2">
      <c r="K217" s="345"/>
      <c r="L217" s="345"/>
      <c r="M217" s="345"/>
      <c r="N217" s="345"/>
      <c r="O217" s="243"/>
      <c r="P217" s="345"/>
      <c r="Q217" s="345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  <c r="AC217" s="17"/>
      <c r="AD217" s="17"/>
      <c r="AE217" s="17"/>
      <c r="AF217" s="17"/>
      <c r="AG217" s="17"/>
      <c r="AH217" s="17"/>
      <c r="AI217" s="17"/>
      <c r="AJ217" s="17"/>
      <c r="AK217" s="17"/>
      <c r="AL217" s="19"/>
      <c r="AM217" s="19"/>
      <c r="AN217" s="19"/>
      <c r="AO217" s="19"/>
    </row>
    <row r="218" spans="11:41" x14ac:dyDescent="0.2">
      <c r="K218" s="346"/>
      <c r="L218" s="346"/>
      <c r="M218" s="242"/>
      <c r="N218" s="347"/>
      <c r="O218" s="243"/>
      <c r="P218" s="346"/>
      <c r="Q218" s="346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  <c r="AC218" s="17"/>
      <c r="AD218" s="17"/>
      <c r="AE218" s="17"/>
      <c r="AF218" s="17"/>
      <c r="AG218" s="17"/>
      <c r="AH218" s="17"/>
      <c r="AI218" s="17"/>
      <c r="AJ218" s="17"/>
      <c r="AK218" s="17"/>
      <c r="AL218" s="19"/>
      <c r="AM218" s="19"/>
      <c r="AN218" s="19"/>
      <c r="AO218" s="19"/>
    </row>
    <row r="219" spans="11:41" x14ac:dyDescent="0.2">
      <c r="K219" s="346"/>
      <c r="L219" s="346"/>
      <c r="M219" s="242"/>
      <c r="N219" s="347"/>
      <c r="O219" s="243"/>
      <c r="P219" s="346"/>
      <c r="Q219" s="346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  <c r="AC219" s="17"/>
      <c r="AD219" s="17"/>
      <c r="AE219" s="17"/>
      <c r="AF219" s="17"/>
      <c r="AG219" s="17"/>
      <c r="AH219" s="17"/>
      <c r="AI219" s="17"/>
      <c r="AJ219" s="17"/>
      <c r="AK219" s="17"/>
      <c r="AL219" s="19"/>
      <c r="AM219" s="19"/>
      <c r="AN219" s="19"/>
      <c r="AO219" s="19"/>
    </row>
    <row r="220" spans="11:41" x14ac:dyDescent="0.2">
      <c r="K220" s="346"/>
      <c r="L220" s="346"/>
      <c r="M220" s="242"/>
      <c r="N220" s="347"/>
      <c r="O220" s="243"/>
      <c r="P220" s="346"/>
      <c r="Q220" s="346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  <c r="AC220" s="17"/>
      <c r="AD220" s="17"/>
      <c r="AE220" s="17"/>
      <c r="AF220" s="17"/>
      <c r="AG220" s="17"/>
      <c r="AH220" s="17"/>
      <c r="AI220" s="17"/>
      <c r="AJ220" s="17"/>
      <c r="AK220" s="17"/>
      <c r="AL220" s="19"/>
      <c r="AM220" s="19"/>
      <c r="AN220" s="19"/>
      <c r="AO220" s="19"/>
    </row>
    <row r="221" spans="11:41" x14ac:dyDescent="0.2">
      <c r="K221" s="346"/>
      <c r="L221" s="348"/>
      <c r="M221" s="242"/>
      <c r="N221" s="347"/>
      <c r="O221" s="243"/>
      <c r="P221" s="346"/>
      <c r="Q221" s="348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  <c r="AC221" s="17"/>
      <c r="AD221" s="17"/>
      <c r="AE221" s="17"/>
      <c r="AF221" s="17"/>
      <c r="AG221" s="17"/>
      <c r="AH221" s="17"/>
      <c r="AI221" s="17"/>
      <c r="AJ221" s="17"/>
      <c r="AK221" s="17"/>
      <c r="AL221" s="19"/>
      <c r="AM221" s="19"/>
      <c r="AN221" s="19"/>
      <c r="AO221" s="19"/>
    </row>
    <row r="222" spans="11:41" x14ac:dyDescent="0.2"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  <c r="AC222" s="17"/>
      <c r="AD222" s="17"/>
      <c r="AE222" s="17"/>
      <c r="AF222" s="17"/>
      <c r="AG222" s="17"/>
      <c r="AH222" s="17"/>
      <c r="AI222" s="17"/>
      <c r="AJ222" s="17"/>
      <c r="AK222" s="17"/>
      <c r="AL222" s="19"/>
      <c r="AM222" s="19"/>
      <c r="AN222" s="19"/>
      <c r="AO222" s="19"/>
    </row>
    <row r="223" spans="11:41" x14ac:dyDescent="0.2"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  <c r="AC223" s="17"/>
      <c r="AD223" s="17"/>
      <c r="AE223" s="17"/>
      <c r="AF223" s="17"/>
      <c r="AG223" s="17"/>
      <c r="AH223" s="17"/>
      <c r="AI223" s="17"/>
      <c r="AJ223" s="17"/>
      <c r="AK223" s="17"/>
      <c r="AL223" s="19"/>
      <c r="AM223" s="19"/>
      <c r="AN223" s="19"/>
      <c r="AO223" s="19"/>
    </row>
    <row r="224" spans="11:41" x14ac:dyDescent="0.2"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  <c r="AC224" s="17"/>
      <c r="AD224" s="17"/>
      <c r="AE224" s="17"/>
      <c r="AF224" s="17"/>
      <c r="AG224" s="17"/>
      <c r="AH224" s="17"/>
      <c r="AI224" s="17"/>
      <c r="AJ224" s="17"/>
      <c r="AK224" s="17"/>
      <c r="AL224" s="19"/>
      <c r="AM224" s="19"/>
      <c r="AN224" s="19"/>
      <c r="AO224" s="19"/>
    </row>
    <row r="225" spans="11:41" x14ac:dyDescent="0.2">
      <c r="K225" s="17"/>
      <c r="L225" s="17"/>
      <c r="M225" s="349" t="s">
        <v>178</v>
      </c>
      <c r="N225" s="350"/>
      <c r="O225" s="350"/>
      <c r="P225" s="351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  <c r="AC225" s="17"/>
      <c r="AD225" s="17"/>
      <c r="AE225" s="17"/>
      <c r="AF225" s="17"/>
      <c r="AG225" s="17"/>
      <c r="AH225" s="17"/>
      <c r="AI225" s="17"/>
      <c r="AJ225" s="17"/>
      <c r="AK225" s="17"/>
      <c r="AL225" s="19"/>
      <c r="AM225" s="19"/>
      <c r="AN225" s="19"/>
      <c r="AO225" s="19"/>
    </row>
    <row r="226" spans="11:41" x14ac:dyDescent="0.2">
      <c r="K226" s="17"/>
      <c r="L226" s="17"/>
      <c r="M226" s="352" t="s">
        <v>169</v>
      </c>
      <c r="N226" s="353"/>
      <c r="O226" s="354" t="s">
        <v>14</v>
      </c>
      <c r="P226" s="355"/>
      <c r="Q226" s="356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  <c r="AC226" s="17"/>
      <c r="AD226" s="17"/>
      <c r="AE226" s="17"/>
      <c r="AF226" s="17"/>
      <c r="AG226" s="17"/>
      <c r="AH226" s="17"/>
      <c r="AI226" s="17"/>
      <c r="AJ226" s="17"/>
      <c r="AK226" s="17"/>
      <c r="AL226" s="19"/>
      <c r="AM226" s="19"/>
      <c r="AN226" s="19"/>
      <c r="AO226" s="19"/>
    </row>
    <row r="227" spans="11:41" x14ac:dyDescent="0.2">
      <c r="K227" s="17"/>
      <c r="L227" s="17"/>
      <c r="M227" s="333" t="s">
        <v>170</v>
      </c>
      <c r="N227" s="334"/>
      <c r="O227" s="357">
        <v>0</v>
      </c>
      <c r="P227" s="358" t="s">
        <v>48</v>
      </c>
      <c r="Q227" s="356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  <c r="AC227" s="17"/>
      <c r="AD227" s="17"/>
      <c r="AE227" s="17"/>
      <c r="AF227" s="17"/>
      <c r="AG227" s="17"/>
      <c r="AH227" s="17"/>
      <c r="AI227" s="17"/>
      <c r="AJ227" s="17"/>
      <c r="AK227" s="17"/>
      <c r="AL227" s="19"/>
      <c r="AM227" s="19"/>
      <c r="AN227" s="19"/>
      <c r="AO227" s="19"/>
    </row>
    <row r="228" spans="11:41" x14ac:dyDescent="0.2">
      <c r="K228" s="17"/>
      <c r="L228" s="17"/>
      <c r="M228" s="333" t="s">
        <v>179</v>
      </c>
      <c r="N228" s="334"/>
      <c r="O228" s="357">
        <v>31.5013125431432</v>
      </c>
      <c r="P228" s="358" t="s">
        <v>48</v>
      </c>
      <c r="Q228" s="356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  <c r="AC228" s="17"/>
      <c r="AD228" s="17"/>
      <c r="AE228" s="17"/>
      <c r="AF228" s="17"/>
      <c r="AG228" s="17"/>
      <c r="AH228" s="17"/>
      <c r="AI228" s="17"/>
      <c r="AJ228" s="17"/>
      <c r="AK228" s="17"/>
      <c r="AL228" s="19"/>
      <c r="AM228" s="19"/>
      <c r="AN228" s="19"/>
      <c r="AO228" s="19"/>
    </row>
    <row r="229" spans="11:41" x14ac:dyDescent="0.2">
      <c r="K229" s="17"/>
      <c r="L229" s="17"/>
      <c r="M229" s="333" t="s">
        <v>180</v>
      </c>
      <c r="N229" s="339"/>
      <c r="O229" s="357">
        <v>3.2730200108438501</v>
      </c>
      <c r="P229" s="358" t="s">
        <v>48</v>
      </c>
      <c r="Q229" s="356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  <c r="AC229" s="17"/>
      <c r="AD229" s="17"/>
      <c r="AE229" s="17"/>
      <c r="AF229" s="17"/>
      <c r="AG229" s="17"/>
      <c r="AH229" s="17"/>
      <c r="AI229" s="17"/>
      <c r="AJ229" s="17"/>
      <c r="AK229" s="17"/>
      <c r="AL229" s="19"/>
      <c r="AM229" s="19"/>
      <c r="AN229" s="19"/>
      <c r="AO229" s="19"/>
    </row>
    <row r="230" spans="11:41" x14ac:dyDescent="0.2">
      <c r="K230" s="17"/>
      <c r="L230" s="17"/>
      <c r="M230" s="333" t="s">
        <v>181</v>
      </c>
      <c r="N230" s="334"/>
      <c r="O230" s="357">
        <v>34.774332553987001</v>
      </c>
      <c r="P230" s="358" t="s">
        <v>48</v>
      </c>
      <c r="Q230" s="356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  <c r="AC230" s="17"/>
      <c r="AD230" s="17"/>
      <c r="AE230" s="17"/>
      <c r="AF230" s="17"/>
      <c r="AG230" s="17"/>
      <c r="AH230" s="17"/>
      <c r="AI230" s="17"/>
      <c r="AJ230" s="17"/>
      <c r="AK230" s="17"/>
      <c r="AL230" s="19"/>
      <c r="AM230" s="19"/>
      <c r="AN230" s="19"/>
      <c r="AO230" s="19"/>
    </row>
    <row r="231" spans="11:41" x14ac:dyDescent="0.2">
      <c r="K231" s="17"/>
      <c r="L231" s="17"/>
      <c r="M231" s="333" t="s">
        <v>182</v>
      </c>
      <c r="N231" s="334"/>
      <c r="O231" s="359">
        <v>0</v>
      </c>
      <c r="P231" s="358" t="s">
        <v>175</v>
      </c>
      <c r="Q231" s="356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  <c r="AC231" s="17"/>
      <c r="AD231" s="17"/>
      <c r="AE231" s="17"/>
      <c r="AF231" s="17"/>
      <c r="AG231" s="17"/>
      <c r="AH231" s="17"/>
      <c r="AI231" s="17"/>
      <c r="AJ231" s="17"/>
      <c r="AK231" s="17"/>
      <c r="AL231" s="19"/>
      <c r="AM231" s="19"/>
      <c r="AN231" s="19"/>
      <c r="AO231" s="19"/>
    </row>
    <row r="232" spans="11:41" x14ac:dyDescent="0.2">
      <c r="K232" s="17"/>
      <c r="L232" s="17"/>
      <c r="M232" s="333" t="s">
        <v>183</v>
      </c>
      <c r="N232" s="334"/>
      <c r="O232" s="359">
        <v>0</v>
      </c>
      <c r="P232" s="358" t="s">
        <v>175</v>
      </c>
      <c r="Q232" s="356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  <c r="AC232" s="17"/>
      <c r="AD232" s="17"/>
      <c r="AE232" s="17"/>
      <c r="AF232" s="17"/>
      <c r="AG232" s="17"/>
      <c r="AH232" s="17"/>
      <c r="AI232" s="17"/>
      <c r="AJ232" s="17"/>
      <c r="AK232" s="17"/>
      <c r="AL232" s="19"/>
      <c r="AM232" s="19"/>
      <c r="AN232" s="19"/>
      <c r="AO232" s="19"/>
    </row>
    <row r="233" spans="11:41" x14ac:dyDescent="0.2">
      <c r="K233" s="17"/>
      <c r="L233" s="17"/>
      <c r="M233" s="360" t="s">
        <v>177</v>
      </c>
      <c r="N233" s="361"/>
      <c r="O233" s="362">
        <v>0</v>
      </c>
      <c r="P233" s="363" t="s">
        <v>46</v>
      </c>
      <c r="Q233" s="356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  <c r="AC233" s="17"/>
      <c r="AD233" s="17"/>
      <c r="AE233" s="17"/>
      <c r="AF233" s="17"/>
      <c r="AG233" s="17"/>
      <c r="AH233" s="17"/>
      <c r="AI233" s="17"/>
      <c r="AJ233" s="17"/>
      <c r="AK233" s="17"/>
      <c r="AL233" s="19"/>
      <c r="AM233" s="19"/>
      <c r="AN233" s="19"/>
      <c r="AO233" s="19"/>
    </row>
    <row r="234" spans="11:41" x14ac:dyDescent="0.2"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  <c r="AC234" s="17"/>
      <c r="AD234" s="17"/>
      <c r="AE234" s="17"/>
      <c r="AF234" s="17"/>
      <c r="AG234" s="17"/>
      <c r="AH234" s="17"/>
      <c r="AI234" s="17"/>
      <c r="AJ234" s="17"/>
      <c r="AK234" s="17"/>
      <c r="AL234" s="19"/>
      <c r="AM234" s="19"/>
      <c r="AN234" s="19"/>
      <c r="AO234" s="19"/>
    </row>
    <row r="235" spans="11:41" x14ac:dyDescent="0.2">
      <c r="K235" s="349" t="s">
        <v>178</v>
      </c>
      <c r="L235" s="350"/>
      <c r="M235" s="350"/>
      <c r="N235" s="364"/>
      <c r="O235" s="324" t="s">
        <v>178</v>
      </c>
      <c r="P235" s="325"/>
      <c r="Q235" s="350"/>
      <c r="R235" s="364"/>
      <c r="S235" s="17"/>
      <c r="W235" s="17"/>
      <c r="X235" s="17"/>
      <c r="Y235" s="17"/>
      <c r="Z235" s="17"/>
      <c r="AA235" s="17"/>
      <c r="AB235" s="17"/>
      <c r="AC235" s="17"/>
      <c r="AD235" s="17"/>
      <c r="AE235" s="17"/>
      <c r="AF235" s="17"/>
      <c r="AG235" s="17"/>
      <c r="AH235" s="17"/>
      <c r="AI235" s="17"/>
      <c r="AJ235" s="17"/>
      <c r="AK235" s="17"/>
      <c r="AL235" s="19"/>
      <c r="AM235" s="19"/>
      <c r="AN235" s="19"/>
      <c r="AO235" s="19"/>
    </row>
    <row r="236" spans="11:41" x14ac:dyDescent="0.2">
      <c r="K236" s="333" t="s">
        <v>121</v>
      </c>
      <c r="L236" s="334"/>
      <c r="M236" s="365" t="s">
        <v>12</v>
      </c>
      <c r="N236" s="358"/>
      <c r="O236" s="352" t="s">
        <v>169</v>
      </c>
      <c r="P236" s="353"/>
      <c r="Q236" s="365" t="s">
        <v>13</v>
      </c>
      <c r="R236" s="366"/>
      <c r="S236" s="17"/>
      <c r="W236" s="17"/>
      <c r="X236" s="17"/>
      <c r="Y236" s="17"/>
      <c r="Z236" s="17"/>
      <c r="AA236" s="17"/>
      <c r="AB236" s="17"/>
      <c r="AC236" s="17"/>
      <c r="AD236" s="17"/>
      <c r="AE236" s="17"/>
      <c r="AF236" s="17"/>
      <c r="AG236" s="17"/>
      <c r="AH236" s="17"/>
      <c r="AI236" s="17"/>
      <c r="AJ236" s="17"/>
      <c r="AK236" s="17"/>
      <c r="AL236" s="19"/>
      <c r="AM236" s="19"/>
      <c r="AN236" s="19"/>
      <c r="AO236" s="19"/>
    </row>
    <row r="237" spans="11:41" x14ac:dyDescent="0.2">
      <c r="K237" s="333" t="s">
        <v>170</v>
      </c>
      <c r="L237" s="334"/>
      <c r="M237" s="335">
        <v>0</v>
      </c>
      <c r="N237" s="358" t="s">
        <v>48</v>
      </c>
      <c r="O237" s="333" t="s">
        <v>170</v>
      </c>
      <c r="P237" s="334"/>
      <c r="Q237" s="357">
        <v>0</v>
      </c>
      <c r="R237" s="358" t="s">
        <v>48</v>
      </c>
      <c r="S237" s="17"/>
      <c r="W237" s="17"/>
      <c r="X237" s="17"/>
      <c r="Y237" s="17"/>
      <c r="Z237" s="17"/>
      <c r="AA237" s="17"/>
      <c r="AB237" s="17"/>
      <c r="AC237" s="17"/>
      <c r="AD237" s="17"/>
      <c r="AE237" s="17"/>
      <c r="AF237" s="17"/>
      <c r="AG237" s="17"/>
      <c r="AH237" s="17"/>
      <c r="AI237" s="17"/>
      <c r="AJ237" s="17"/>
      <c r="AK237" s="17"/>
      <c r="AL237" s="19"/>
      <c r="AM237" s="19"/>
      <c r="AN237" s="19"/>
      <c r="AO237" s="19"/>
    </row>
    <row r="238" spans="11:41" x14ac:dyDescent="0.2">
      <c r="K238" s="333" t="s">
        <v>179</v>
      </c>
      <c r="L238" s="334"/>
      <c r="M238" s="357">
        <v>59.931884126502702</v>
      </c>
      <c r="N238" s="358" t="s">
        <v>48</v>
      </c>
      <c r="O238" s="333" t="s">
        <v>179</v>
      </c>
      <c r="P238" s="334"/>
      <c r="Q238" s="357">
        <v>43.539160291635298</v>
      </c>
      <c r="R238" s="358" t="s">
        <v>48</v>
      </c>
      <c r="S238" s="17"/>
      <c r="W238" s="17"/>
      <c r="X238" s="17"/>
      <c r="Y238" s="17"/>
      <c r="Z238" s="17"/>
      <c r="AA238" s="17"/>
      <c r="AB238" s="17"/>
      <c r="AC238" s="17"/>
      <c r="AD238" s="17"/>
      <c r="AE238" s="17"/>
      <c r="AF238" s="17"/>
      <c r="AG238" s="17"/>
      <c r="AH238" s="17"/>
      <c r="AI238" s="17"/>
      <c r="AJ238" s="17"/>
      <c r="AK238" s="17"/>
      <c r="AL238" s="19"/>
      <c r="AM238" s="19"/>
      <c r="AN238" s="19"/>
      <c r="AO238" s="19"/>
    </row>
    <row r="239" spans="11:41" x14ac:dyDescent="0.2">
      <c r="K239" s="333" t="s">
        <v>180</v>
      </c>
      <c r="L239" s="339"/>
      <c r="M239" s="357">
        <v>3.6434498355665301</v>
      </c>
      <c r="N239" s="358" t="s">
        <v>48</v>
      </c>
      <c r="O239" s="333" t="s">
        <v>180</v>
      </c>
      <c r="P239" s="339"/>
      <c r="Q239" s="357">
        <v>3.6889012515744701</v>
      </c>
      <c r="R239" s="358" t="s">
        <v>48</v>
      </c>
      <c r="S239" s="17"/>
      <c r="W239" s="17"/>
      <c r="X239" s="17"/>
      <c r="Y239" s="17"/>
      <c r="Z239" s="17"/>
      <c r="AA239" s="17"/>
      <c r="AB239" s="17"/>
      <c r="AC239" s="17"/>
      <c r="AD239" s="17"/>
      <c r="AE239" s="17"/>
      <c r="AF239" s="17"/>
      <c r="AG239" s="17"/>
      <c r="AH239" s="17"/>
      <c r="AI239" s="17"/>
      <c r="AJ239" s="17"/>
      <c r="AK239" s="17"/>
      <c r="AL239" s="19"/>
      <c r="AM239" s="19"/>
      <c r="AN239" s="19"/>
      <c r="AO239" s="19"/>
    </row>
    <row r="240" spans="11:41" x14ac:dyDescent="0.2">
      <c r="K240" s="333" t="s">
        <v>181</v>
      </c>
      <c r="L240" s="334"/>
      <c r="M240" s="357">
        <v>63.575333962069202</v>
      </c>
      <c r="N240" s="358" t="s">
        <v>48</v>
      </c>
      <c r="O240" s="333" t="s">
        <v>181</v>
      </c>
      <c r="P240" s="334"/>
      <c r="Q240" s="357">
        <v>47.228061543209797</v>
      </c>
      <c r="R240" s="358" t="s">
        <v>48</v>
      </c>
      <c r="S240" s="17"/>
      <c r="W240" s="17"/>
      <c r="X240" s="17"/>
      <c r="Y240" s="17"/>
      <c r="Z240" s="17"/>
      <c r="AA240" s="17"/>
      <c r="AB240" s="17"/>
      <c r="AC240" s="17"/>
      <c r="AD240" s="17"/>
      <c r="AE240" s="17"/>
      <c r="AF240" s="17"/>
      <c r="AG240" s="17"/>
      <c r="AH240" s="17"/>
      <c r="AI240" s="17"/>
      <c r="AJ240" s="17"/>
      <c r="AK240" s="17"/>
      <c r="AL240" s="19"/>
      <c r="AM240" s="19"/>
      <c r="AN240" s="19"/>
      <c r="AO240" s="19"/>
    </row>
    <row r="241" spans="10:41" x14ac:dyDescent="0.2">
      <c r="K241" s="333" t="s">
        <v>182</v>
      </c>
      <c r="L241" s="334"/>
      <c r="M241" s="357">
        <v>0</v>
      </c>
      <c r="N241" s="358" t="s">
        <v>175</v>
      </c>
      <c r="O241" s="333" t="s">
        <v>182</v>
      </c>
      <c r="P241" s="334"/>
      <c r="Q241" s="359">
        <v>0</v>
      </c>
      <c r="R241" s="358" t="s">
        <v>175</v>
      </c>
      <c r="S241" s="17"/>
      <c r="W241" s="17"/>
      <c r="X241" s="17"/>
      <c r="Y241" s="17"/>
      <c r="Z241" s="17"/>
      <c r="AA241" s="17"/>
      <c r="AB241" s="17"/>
      <c r="AC241" s="17"/>
      <c r="AD241" s="17"/>
      <c r="AE241" s="17"/>
      <c r="AF241" s="17"/>
      <c r="AG241" s="17"/>
      <c r="AH241" s="17"/>
      <c r="AI241" s="17"/>
      <c r="AJ241" s="17"/>
      <c r="AK241" s="17"/>
      <c r="AL241" s="19"/>
      <c r="AM241" s="19"/>
      <c r="AN241" s="19"/>
      <c r="AO241" s="19"/>
    </row>
    <row r="242" spans="10:41" x14ac:dyDescent="0.2">
      <c r="K242" s="333" t="s">
        <v>183</v>
      </c>
      <c r="L242" s="334"/>
      <c r="M242" s="357">
        <v>0</v>
      </c>
      <c r="N242" s="358" t="s">
        <v>175</v>
      </c>
      <c r="O242" s="333" t="s">
        <v>183</v>
      </c>
      <c r="P242" s="334"/>
      <c r="Q242" s="359">
        <v>0</v>
      </c>
      <c r="R242" s="358" t="s">
        <v>175</v>
      </c>
      <c r="S242" s="17"/>
      <c r="W242" s="17"/>
      <c r="X242" s="17"/>
      <c r="Y242" s="17"/>
      <c r="Z242" s="17"/>
      <c r="AA242" s="17"/>
      <c r="AB242" s="17"/>
      <c r="AC242" s="17"/>
      <c r="AD242" s="17"/>
      <c r="AE242" s="17"/>
      <c r="AF242" s="17"/>
      <c r="AG242" s="17"/>
      <c r="AH242" s="17"/>
      <c r="AI242" s="17"/>
      <c r="AJ242" s="17"/>
      <c r="AK242" s="17"/>
      <c r="AL242" s="19"/>
      <c r="AM242" s="19"/>
      <c r="AN242" s="19"/>
      <c r="AO242" s="19"/>
    </row>
    <row r="243" spans="10:41" x14ac:dyDescent="0.2">
      <c r="K243" s="360" t="s">
        <v>177</v>
      </c>
      <c r="L243" s="361"/>
      <c r="M243" s="362">
        <v>0</v>
      </c>
      <c r="N243" s="363" t="s">
        <v>46</v>
      </c>
      <c r="O243" s="360" t="s">
        <v>177</v>
      </c>
      <c r="P243" s="361"/>
      <c r="Q243" s="362">
        <v>0</v>
      </c>
      <c r="R243" s="363" t="s">
        <v>46</v>
      </c>
      <c r="S243" s="17"/>
      <c r="W243" s="242"/>
      <c r="X243" s="367"/>
      <c r="Y243" s="17"/>
      <c r="Z243" s="17"/>
      <c r="AA243" s="17"/>
      <c r="AB243" s="17"/>
      <c r="AC243" s="17"/>
      <c r="AD243" s="17"/>
      <c r="AE243" s="17"/>
      <c r="AF243" s="17"/>
      <c r="AG243" s="17"/>
      <c r="AH243" s="17"/>
      <c r="AI243" s="17"/>
      <c r="AJ243" s="17"/>
      <c r="AK243" s="17"/>
      <c r="AL243" s="19"/>
      <c r="AM243" s="19"/>
      <c r="AN243" s="19"/>
      <c r="AO243" s="19"/>
    </row>
    <row r="244" spans="10:41" x14ac:dyDescent="0.2">
      <c r="K244" s="17"/>
      <c r="L244" s="17"/>
      <c r="M244" s="17"/>
      <c r="N244" s="17"/>
      <c r="O244" s="17"/>
      <c r="P244" s="17"/>
      <c r="Q244" s="17"/>
      <c r="R244" s="17"/>
      <c r="S244" s="17"/>
      <c r="W244" s="242"/>
      <c r="X244" s="243"/>
      <c r="Y244" s="17"/>
      <c r="Z244" s="17"/>
      <c r="AA244" s="17"/>
      <c r="AB244" s="17"/>
      <c r="AC244" s="17"/>
      <c r="AD244" s="17"/>
      <c r="AE244" s="17"/>
      <c r="AF244" s="17"/>
      <c r="AG244" s="17"/>
      <c r="AH244" s="17"/>
      <c r="AI244" s="17"/>
      <c r="AJ244" s="17"/>
      <c r="AK244" s="17"/>
      <c r="AL244" s="19"/>
      <c r="AM244" s="19"/>
      <c r="AN244" s="19"/>
      <c r="AO244" s="19"/>
    </row>
    <row r="245" spans="10:41" ht="15" x14ac:dyDescent="0.25">
      <c r="K245" s="17"/>
      <c r="L245" s="17"/>
      <c r="M245" s="17"/>
      <c r="N245" s="17"/>
      <c r="O245" s="17"/>
      <c r="P245" s="17"/>
      <c r="Q245" s="17"/>
      <c r="R245" s="17"/>
      <c r="S245" s="17"/>
      <c r="W245" s="242"/>
      <c r="X245" s="244"/>
      <c r="Y245" s="17"/>
      <c r="Z245" s="17"/>
      <c r="AA245" s="17"/>
      <c r="AB245" s="17"/>
      <c r="AC245" s="17"/>
      <c r="AD245" s="17"/>
      <c r="AE245" s="17"/>
      <c r="AF245" s="17"/>
      <c r="AG245" s="17"/>
      <c r="AH245" s="17"/>
      <c r="AI245" s="17"/>
      <c r="AJ245" s="17"/>
      <c r="AK245" s="17"/>
      <c r="AL245" s="19"/>
      <c r="AM245" s="19"/>
      <c r="AN245" s="19"/>
      <c r="AO245" s="19"/>
    </row>
    <row r="246" spans="10:41" ht="15" x14ac:dyDescent="0.25">
      <c r="K246" s="17"/>
      <c r="L246" s="17"/>
      <c r="M246" s="17"/>
      <c r="N246" s="17"/>
      <c r="O246" s="17"/>
      <c r="P246" s="17"/>
      <c r="Q246" s="17"/>
      <c r="R246" s="17"/>
      <c r="S246" s="17"/>
      <c r="T246" s="243"/>
      <c r="U246" s="243"/>
      <c r="V246" s="243"/>
      <c r="W246" s="242"/>
      <c r="X246" s="244"/>
      <c r="Y246" s="17"/>
      <c r="Z246" s="17"/>
      <c r="AA246" s="17"/>
      <c r="AB246" s="17"/>
      <c r="AC246" s="17"/>
      <c r="AD246" s="17"/>
      <c r="AE246" s="17"/>
      <c r="AF246" s="17"/>
      <c r="AG246" s="17"/>
      <c r="AH246" s="17"/>
      <c r="AI246" s="17"/>
      <c r="AJ246" s="17"/>
      <c r="AK246" s="17"/>
      <c r="AL246" s="19"/>
      <c r="AM246" s="19"/>
      <c r="AN246" s="19"/>
      <c r="AO246" s="19"/>
    </row>
    <row r="247" spans="10:41" ht="15" x14ac:dyDescent="0.25">
      <c r="K247" s="17"/>
      <c r="L247" s="17"/>
      <c r="M247" s="17"/>
      <c r="N247" s="17"/>
      <c r="O247" s="17"/>
      <c r="P247" s="17"/>
      <c r="Q247" s="17"/>
      <c r="R247" s="17"/>
      <c r="S247" s="17"/>
      <c r="T247" s="243"/>
      <c r="U247" s="243"/>
      <c r="V247" s="243"/>
      <c r="W247" s="242"/>
      <c r="X247" s="244"/>
      <c r="Y247" s="17"/>
      <c r="Z247" s="17"/>
      <c r="AA247" s="17"/>
      <c r="AB247" s="17"/>
      <c r="AC247" s="17"/>
      <c r="AD247" s="17"/>
      <c r="AE247" s="17"/>
      <c r="AF247" s="17"/>
      <c r="AG247" s="17"/>
      <c r="AH247" s="17"/>
      <c r="AI247" s="17"/>
      <c r="AJ247" s="17"/>
      <c r="AK247" s="17"/>
      <c r="AL247" s="19"/>
      <c r="AM247" s="19"/>
      <c r="AN247" s="19"/>
      <c r="AO247" s="19"/>
    </row>
    <row r="248" spans="10:41" x14ac:dyDescent="0.2"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  <c r="AC248" s="17"/>
      <c r="AD248" s="17"/>
      <c r="AE248" s="17"/>
      <c r="AF248" s="17"/>
      <c r="AG248" s="17"/>
      <c r="AH248" s="17"/>
      <c r="AI248" s="17"/>
      <c r="AJ248" s="17"/>
      <c r="AK248" s="17"/>
      <c r="AL248" s="19"/>
      <c r="AM248" s="19"/>
      <c r="AN248" s="19"/>
      <c r="AO248" s="19"/>
    </row>
    <row r="249" spans="10:41" x14ac:dyDescent="0.2"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  <c r="AC249" s="17"/>
      <c r="AD249" s="17"/>
      <c r="AE249" s="17"/>
      <c r="AF249" s="17"/>
      <c r="AG249" s="17"/>
      <c r="AH249" s="17"/>
      <c r="AI249" s="17"/>
      <c r="AJ249" s="17"/>
      <c r="AK249" s="17"/>
      <c r="AL249" s="19"/>
      <c r="AM249" s="19"/>
      <c r="AN249" s="19"/>
      <c r="AO249" s="19"/>
    </row>
    <row r="250" spans="10:41" x14ac:dyDescent="0.2"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  <c r="AC250" s="17"/>
      <c r="AD250" s="17"/>
      <c r="AE250" s="17"/>
      <c r="AF250" s="17"/>
      <c r="AG250" s="17"/>
      <c r="AH250" s="17"/>
      <c r="AI250" s="17"/>
      <c r="AJ250" s="17"/>
      <c r="AK250" s="17"/>
      <c r="AL250" s="19"/>
      <c r="AM250" s="19"/>
      <c r="AN250" s="19"/>
      <c r="AO250" s="19"/>
    </row>
    <row r="251" spans="10:41" x14ac:dyDescent="0.2"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  <c r="AC251" s="17"/>
      <c r="AD251" s="17"/>
      <c r="AE251" s="17"/>
      <c r="AF251" s="17"/>
      <c r="AG251" s="17"/>
      <c r="AH251" s="17"/>
      <c r="AI251" s="17"/>
      <c r="AJ251" s="17"/>
      <c r="AK251" s="17"/>
      <c r="AL251" s="19"/>
      <c r="AM251" s="19"/>
      <c r="AN251" s="19"/>
      <c r="AO251" s="19"/>
    </row>
    <row r="252" spans="10:41" x14ac:dyDescent="0.2"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  <c r="AC252" s="17"/>
      <c r="AD252" s="17"/>
      <c r="AE252" s="17"/>
      <c r="AF252" s="17"/>
      <c r="AG252" s="17"/>
      <c r="AH252" s="17"/>
      <c r="AI252" s="17"/>
      <c r="AJ252" s="17"/>
      <c r="AK252" s="17"/>
      <c r="AL252" s="19"/>
      <c r="AM252" s="19"/>
      <c r="AN252" s="19"/>
      <c r="AO252" s="19"/>
    </row>
    <row r="253" spans="10:41" x14ac:dyDescent="0.2"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C253" s="17"/>
      <c r="AD253" s="17"/>
      <c r="AE253" s="17"/>
      <c r="AF253" s="17"/>
      <c r="AG253" s="17"/>
      <c r="AH253" s="17"/>
      <c r="AI253" s="17"/>
      <c r="AJ253" s="17"/>
      <c r="AK253" s="17"/>
      <c r="AL253" s="19"/>
      <c r="AM253" s="19"/>
      <c r="AN253" s="19"/>
      <c r="AO253" s="19"/>
    </row>
    <row r="254" spans="10:41" x14ac:dyDescent="0.2"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  <c r="AC254" s="17"/>
      <c r="AD254" s="17"/>
      <c r="AE254" s="17"/>
      <c r="AF254" s="17"/>
      <c r="AG254" s="17"/>
      <c r="AH254" s="17"/>
      <c r="AI254" s="17"/>
      <c r="AJ254" s="17"/>
      <c r="AK254" s="17"/>
      <c r="AL254" s="19"/>
      <c r="AM254" s="19"/>
      <c r="AN254" s="19"/>
      <c r="AO254" s="19"/>
    </row>
    <row r="255" spans="10:41" x14ac:dyDescent="0.2"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  <c r="AC255" s="17"/>
      <c r="AD255" s="17"/>
      <c r="AE255" s="17"/>
      <c r="AF255" s="17"/>
      <c r="AG255" s="17"/>
      <c r="AH255" s="17"/>
      <c r="AI255" s="17"/>
      <c r="AJ255" s="17"/>
      <c r="AK255" s="17"/>
      <c r="AL255" s="19"/>
      <c r="AM255" s="19"/>
      <c r="AN255" s="19"/>
      <c r="AO255" s="19"/>
    </row>
    <row r="256" spans="10:41" x14ac:dyDescent="0.2"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D256" s="17"/>
      <c r="AE256" s="17"/>
      <c r="AF256" s="17"/>
      <c r="AG256" s="17"/>
      <c r="AH256" s="17"/>
      <c r="AI256" s="17"/>
      <c r="AJ256" s="17"/>
      <c r="AK256" s="17"/>
      <c r="AL256" s="19"/>
      <c r="AM256" s="19"/>
      <c r="AN256" s="19"/>
      <c r="AO256" s="19"/>
    </row>
    <row r="257" spans="10:41" x14ac:dyDescent="0.2"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  <c r="AC257" s="17"/>
      <c r="AD257" s="17"/>
      <c r="AE257" s="17"/>
      <c r="AF257" s="17"/>
      <c r="AG257" s="17"/>
      <c r="AH257" s="17"/>
      <c r="AI257" s="17"/>
      <c r="AJ257" s="17"/>
      <c r="AK257" s="17"/>
      <c r="AL257" s="19"/>
      <c r="AM257" s="19"/>
      <c r="AN257" s="19"/>
      <c r="AO257" s="19"/>
    </row>
    <row r="258" spans="10:41" x14ac:dyDescent="0.2"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  <c r="AC258" s="17"/>
      <c r="AD258" s="17"/>
      <c r="AE258" s="17"/>
      <c r="AF258" s="17"/>
      <c r="AG258" s="17"/>
      <c r="AH258" s="17"/>
      <c r="AI258" s="17"/>
      <c r="AJ258" s="17"/>
      <c r="AK258" s="17"/>
      <c r="AL258" s="19"/>
      <c r="AM258" s="19"/>
      <c r="AN258" s="19"/>
      <c r="AO258" s="19"/>
    </row>
    <row r="259" spans="10:41" x14ac:dyDescent="0.2"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  <c r="AC259" s="17"/>
      <c r="AD259" s="17"/>
      <c r="AE259" s="17"/>
      <c r="AF259" s="17"/>
      <c r="AG259" s="17"/>
      <c r="AH259" s="17"/>
      <c r="AI259" s="17"/>
      <c r="AJ259" s="17"/>
      <c r="AK259" s="17"/>
      <c r="AL259" s="19"/>
      <c r="AM259" s="19"/>
      <c r="AN259" s="19"/>
      <c r="AO259" s="19"/>
    </row>
    <row r="260" spans="10:41" x14ac:dyDescent="0.2"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  <c r="AC260" s="17"/>
      <c r="AD260" s="17"/>
      <c r="AE260" s="17"/>
      <c r="AF260" s="17"/>
      <c r="AG260" s="17"/>
      <c r="AH260" s="17"/>
      <c r="AI260" s="17"/>
      <c r="AJ260" s="17"/>
      <c r="AK260" s="17"/>
      <c r="AL260" s="19"/>
      <c r="AM260" s="19"/>
      <c r="AN260" s="19"/>
      <c r="AO260" s="19"/>
    </row>
    <row r="261" spans="10:41" x14ac:dyDescent="0.2"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  <c r="AC261" s="17"/>
      <c r="AD261" s="17"/>
      <c r="AE261" s="17"/>
      <c r="AF261" s="17"/>
      <c r="AG261" s="17"/>
      <c r="AH261" s="17"/>
      <c r="AI261" s="17"/>
      <c r="AJ261" s="17"/>
      <c r="AK261" s="17"/>
      <c r="AL261" s="19"/>
      <c r="AM261" s="19"/>
      <c r="AN261" s="19"/>
      <c r="AO261" s="19"/>
    </row>
    <row r="262" spans="10:41" x14ac:dyDescent="0.2"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  <c r="AC262" s="17"/>
      <c r="AD262" s="17"/>
      <c r="AE262" s="17"/>
      <c r="AF262" s="17"/>
      <c r="AG262" s="17"/>
      <c r="AH262" s="17"/>
      <c r="AI262" s="17"/>
      <c r="AJ262" s="17"/>
      <c r="AK262" s="17"/>
      <c r="AL262" s="19"/>
      <c r="AM262" s="19"/>
      <c r="AN262" s="19"/>
      <c r="AO262" s="19"/>
    </row>
    <row r="263" spans="10:41" x14ac:dyDescent="0.2"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  <c r="AC263" s="17"/>
      <c r="AD263" s="17"/>
      <c r="AE263" s="17"/>
      <c r="AF263" s="17"/>
      <c r="AG263" s="17"/>
      <c r="AH263" s="17"/>
      <c r="AI263" s="17"/>
      <c r="AJ263" s="17"/>
      <c r="AK263" s="17"/>
      <c r="AL263" s="19"/>
      <c r="AM263" s="19"/>
      <c r="AN263" s="19"/>
      <c r="AO263" s="19"/>
    </row>
    <row r="264" spans="10:41" x14ac:dyDescent="0.2"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  <c r="AC264" s="17"/>
      <c r="AD264" s="17"/>
      <c r="AE264" s="17"/>
      <c r="AF264" s="17"/>
      <c r="AG264" s="17"/>
      <c r="AH264" s="17"/>
      <c r="AI264" s="17"/>
      <c r="AJ264" s="17"/>
      <c r="AK264" s="17"/>
      <c r="AL264" s="19"/>
      <c r="AM264" s="19"/>
      <c r="AN264" s="19"/>
      <c r="AO264" s="19"/>
    </row>
    <row r="265" spans="10:41" x14ac:dyDescent="0.2"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  <c r="AC265" s="17"/>
      <c r="AD265" s="17"/>
      <c r="AE265" s="17"/>
      <c r="AF265" s="17"/>
      <c r="AG265" s="17"/>
      <c r="AH265" s="17"/>
      <c r="AI265" s="17"/>
      <c r="AJ265" s="17"/>
      <c r="AK265" s="17"/>
      <c r="AL265" s="19"/>
      <c r="AM265" s="19"/>
      <c r="AN265" s="19"/>
      <c r="AO265" s="19"/>
    </row>
    <row r="266" spans="10:41" x14ac:dyDescent="0.2"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  <c r="AC266" s="17"/>
      <c r="AD266" s="17"/>
      <c r="AE266" s="17"/>
      <c r="AF266" s="17"/>
      <c r="AG266" s="17"/>
      <c r="AH266" s="17"/>
      <c r="AI266" s="17"/>
      <c r="AJ266" s="17"/>
      <c r="AK266" s="17"/>
      <c r="AL266" s="19"/>
      <c r="AM266" s="19"/>
      <c r="AN266" s="19"/>
      <c r="AO266" s="19"/>
    </row>
    <row r="267" spans="10:41" x14ac:dyDescent="0.2"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  <c r="AC267" s="17"/>
      <c r="AD267" s="17"/>
      <c r="AE267" s="17"/>
      <c r="AF267" s="17"/>
      <c r="AG267" s="17"/>
      <c r="AH267" s="17"/>
      <c r="AI267" s="17"/>
      <c r="AJ267" s="17"/>
      <c r="AK267" s="17"/>
      <c r="AL267" s="19"/>
      <c r="AM267" s="19"/>
      <c r="AN267" s="19"/>
      <c r="AO267" s="19"/>
    </row>
    <row r="268" spans="10:41" x14ac:dyDescent="0.2"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  <c r="AC268" s="17"/>
      <c r="AD268" s="17"/>
      <c r="AE268" s="17"/>
      <c r="AF268" s="17"/>
      <c r="AG268" s="17"/>
      <c r="AH268" s="17"/>
      <c r="AI268" s="17"/>
      <c r="AJ268" s="17"/>
      <c r="AK268" s="17"/>
      <c r="AL268" s="19"/>
      <c r="AM268" s="19"/>
      <c r="AN268" s="19"/>
      <c r="AO268" s="19"/>
    </row>
    <row r="269" spans="10:41" x14ac:dyDescent="0.2"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  <c r="AC269" s="17"/>
      <c r="AD269" s="17"/>
      <c r="AE269" s="17"/>
      <c r="AF269" s="17"/>
      <c r="AG269" s="17"/>
      <c r="AH269" s="17"/>
      <c r="AI269" s="17"/>
      <c r="AJ269" s="17"/>
      <c r="AK269" s="17"/>
      <c r="AL269" s="19"/>
      <c r="AM269" s="19"/>
      <c r="AN269" s="19"/>
      <c r="AO269" s="19"/>
    </row>
    <row r="270" spans="10:41" x14ac:dyDescent="0.2"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  <c r="AC270" s="17"/>
      <c r="AD270" s="17"/>
      <c r="AE270" s="17"/>
      <c r="AF270" s="17"/>
      <c r="AG270" s="17"/>
      <c r="AH270" s="17"/>
      <c r="AI270" s="17"/>
      <c r="AJ270" s="17"/>
      <c r="AK270" s="17"/>
      <c r="AL270" s="19"/>
      <c r="AM270" s="19"/>
      <c r="AN270" s="19"/>
      <c r="AO270" s="19"/>
    </row>
    <row r="271" spans="10:41" ht="14.25" x14ac:dyDescent="0.2">
      <c r="K271" s="17"/>
      <c r="L271" s="17"/>
      <c r="M271" s="17"/>
      <c r="N271" s="39" t="s">
        <v>184</v>
      </c>
      <c r="O271" s="368"/>
      <c r="P271" s="369"/>
      <c r="Q271" s="228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  <c r="AC271" s="17"/>
      <c r="AD271" s="17"/>
      <c r="AE271" s="17"/>
      <c r="AF271" s="17"/>
      <c r="AG271" s="17"/>
      <c r="AH271" s="17"/>
      <c r="AI271" s="17"/>
      <c r="AJ271" s="17"/>
      <c r="AK271" s="17"/>
      <c r="AL271" s="19"/>
      <c r="AM271" s="19"/>
      <c r="AN271" s="19"/>
      <c r="AO271" s="19"/>
    </row>
    <row r="272" spans="10:41" ht="15" x14ac:dyDescent="0.25">
      <c r="K272" s="17"/>
      <c r="L272" s="17"/>
      <c r="M272" s="17"/>
      <c r="N272" s="229" t="s">
        <v>121</v>
      </c>
      <c r="O272" s="48"/>
      <c r="P272" s="370" t="s">
        <v>14</v>
      </c>
      <c r="Q272" s="119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  <c r="AC272" s="17"/>
      <c r="AD272" s="17"/>
      <c r="AE272" s="17"/>
      <c r="AF272" s="17"/>
      <c r="AG272" s="17"/>
      <c r="AH272" s="17"/>
      <c r="AI272" s="17"/>
      <c r="AJ272" s="17"/>
      <c r="AK272" s="17"/>
      <c r="AL272" s="19"/>
      <c r="AM272" s="19"/>
      <c r="AN272" s="19"/>
      <c r="AO272" s="19"/>
    </row>
    <row r="273" spans="10:41" ht="15" x14ac:dyDescent="0.25">
      <c r="K273" s="17"/>
      <c r="L273" s="17"/>
      <c r="M273" s="17"/>
      <c r="N273" s="371" t="s">
        <v>185</v>
      </c>
      <c r="O273" s="372"/>
      <c r="P273" s="373">
        <v>0</v>
      </c>
      <c r="Q273" s="374" t="s">
        <v>186</v>
      </c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  <c r="AC273" s="17"/>
      <c r="AD273" s="17"/>
      <c r="AE273" s="17"/>
      <c r="AF273" s="17"/>
      <c r="AG273" s="17"/>
      <c r="AH273" s="17"/>
      <c r="AI273" s="17"/>
      <c r="AJ273" s="17"/>
      <c r="AK273" s="17"/>
      <c r="AL273" s="19"/>
      <c r="AM273" s="19"/>
      <c r="AN273" s="19"/>
      <c r="AO273" s="19"/>
    </row>
    <row r="274" spans="10:41" ht="15" x14ac:dyDescent="0.25">
      <c r="K274" s="17"/>
      <c r="L274" s="17"/>
      <c r="M274" s="17"/>
      <c r="N274" s="371" t="s">
        <v>187</v>
      </c>
      <c r="O274" s="372"/>
      <c r="P274" s="375">
        <v>20.794735068511098</v>
      </c>
      <c r="Q274" s="376" t="s">
        <v>186</v>
      </c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  <c r="AC274" s="17"/>
      <c r="AD274" s="17"/>
      <c r="AE274" s="17"/>
      <c r="AF274" s="17"/>
      <c r="AG274" s="17"/>
      <c r="AH274" s="17"/>
      <c r="AI274" s="17"/>
      <c r="AJ274" s="17"/>
      <c r="AK274" s="17"/>
      <c r="AL274" s="19"/>
      <c r="AM274" s="19"/>
      <c r="AN274" s="19"/>
      <c r="AO274" s="19"/>
    </row>
    <row r="275" spans="10:41" ht="15" x14ac:dyDescent="0.25">
      <c r="K275" s="17"/>
      <c r="L275" s="17"/>
      <c r="M275" s="17"/>
      <c r="N275" s="371" t="s">
        <v>188</v>
      </c>
      <c r="O275" s="372"/>
      <c r="P275" s="377">
        <v>0</v>
      </c>
      <c r="Q275" s="320" t="s">
        <v>46</v>
      </c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  <c r="AC275" s="17"/>
      <c r="AD275" s="17"/>
      <c r="AE275" s="17"/>
      <c r="AF275" s="17"/>
      <c r="AG275" s="17"/>
      <c r="AH275" s="17"/>
      <c r="AI275" s="17"/>
      <c r="AJ275" s="17"/>
      <c r="AK275" s="17"/>
      <c r="AL275" s="19"/>
      <c r="AM275" s="19"/>
      <c r="AN275" s="19"/>
      <c r="AO275" s="19"/>
    </row>
    <row r="276" spans="10:41" ht="15" x14ac:dyDescent="0.25">
      <c r="K276" s="17"/>
      <c r="L276" s="17"/>
      <c r="M276" s="17"/>
      <c r="N276" s="321" t="s">
        <v>189</v>
      </c>
      <c r="O276" s="322"/>
      <c r="P276" s="378">
        <v>0</v>
      </c>
      <c r="Q276" s="379" t="s">
        <v>46</v>
      </c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  <c r="AC276" s="17"/>
      <c r="AD276" s="17"/>
      <c r="AE276" s="17"/>
      <c r="AF276" s="17"/>
      <c r="AG276" s="17"/>
      <c r="AH276" s="17"/>
      <c r="AI276" s="17"/>
      <c r="AJ276" s="17"/>
      <c r="AK276" s="17"/>
      <c r="AL276" s="19"/>
      <c r="AM276" s="19"/>
      <c r="AN276" s="19"/>
      <c r="AO276" s="19"/>
    </row>
    <row r="277" spans="10:41" x14ac:dyDescent="0.2"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  <c r="AC277" s="17"/>
      <c r="AD277" s="17"/>
      <c r="AE277" s="17"/>
      <c r="AF277" s="17"/>
      <c r="AG277" s="17"/>
      <c r="AH277" s="17"/>
      <c r="AI277" s="17"/>
      <c r="AJ277" s="17"/>
      <c r="AK277" s="17"/>
      <c r="AL277" s="19"/>
      <c r="AM277" s="19"/>
      <c r="AN277" s="19"/>
      <c r="AO277" s="19"/>
    </row>
    <row r="278" spans="10:41" x14ac:dyDescent="0.2">
      <c r="K278" s="349" t="s">
        <v>184</v>
      </c>
      <c r="L278" s="380"/>
      <c r="M278" s="380"/>
      <c r="N278" s="381"/>
      <c r="O278" s="349" t="s">
        <v>184</v>
      </c>
      <c r="P278" s="382"/>
      <c r="Q278" s="382"/>
      <c r="R278" s="383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  <c r="AC278" s="17"/>
      <c r="AD278" s="17"/>
      <c r="AE278" s="17"/>
      <c r="AF278" s="17"/>
      <c r="AG278" s="17"/>
      <c r="AH278" s="17"/>
      <c r="AI278" s="17"/>
      <c r="AJ278" s="17"/>
      <c r="AK278" s="17"/>
      <c r="AL278" s="19"/>
      <c r="AM278" s="19"/>
      <c r="AN278" s="19"/>
      <c r="AO278" s="19"/>
    </row>
    <row r="279" spans="10:41" x14ac:dyDescent="0.2">
      <c r="K279" s="384" t="s">
        <v>121</v>
      </c>
      <c r="L279" s="385"/>
      <c r="M279" s="386" t="s">
        <v>12</v>
      </c>
      <c r="N279" s="387"/>
      <c r="O279" s="384" t="s">
        <v>121</v>
      </c>
      <c r="P279" s="388"/>
      <c r="Q279" s="354" t="s">
        <v>13</v>
      </c>
      <c r="R279" s="355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  <c r="AC279" s="17"/>
      <c r="AD279" s="17"/>
      <c r="AE279" s="17"/>
      <c r="AF279" s="17"/>
      <c r="AG279" s="17"/>
      <c r="AH279" s="17"/>
      <c r="AI279" s="17"/>
      <c r="AJ279" s="17"/>
      <c r="AK279" s="17"/>
      <c r="AL279" s="19"/>
      <c r="AM279" s="19"/>
      <c r="AN279" s="19"/>
      <c r="AO279" s="19"/>
    </row>
    <row r="280" spans="10:41" x14ac:dyDescent="0.2">
      <c r="K280" s="333" t="s">
        <v>185</v>
      </c>
      <c r="L280" s="334"/>
      <c r="M280" s="389">
        <v>0</v>
      </c>
      <c r="N280" s="374" t="s">
        <v>186</v>
      </c>
      <c r="O280" s="333" t="s">
        <v>185</v>
      </c>
      <c r="P280" s="334"/>
      <c r="Q280" s="390">
        <v>0</v>
      </c>
      <c r="R280" s="376" t="s">
        <v>186</v>
      </c>
      <c r="S280" s="17"/>
      <c r="T280" s="17"/>
      <c r="U280" s="17"/>
      <c r="V280" s="17"/>
      <c r="W280" s="17"/>
      <c r="X280" s="17"/>
      <c r="Y280" s="17"/>
      <c r="Z280" s="17"/>
      <c r="AA280" s="17"/>
      <c r="AB280" s="17"/>
      <c r="AC280" s="17"/>
      <c r="AD280" s="17"/>
      <c r="AE280" s="17"/>
      <c r="AF280" s="17"/>
      <c r="AG280" s="17"/>
      <c r="AH280" s="17"/>
      <c r="AI280" s="17"/>
      <c r="AJ280" s="17"/>
      <c r="AK280" s="17"/>
      <c r="AL280" s="19"/>
      <c r="AM280" s="19"/>
      <c r="AN280" s="19"/>
      <c r="AO280" s="19"/>
    </row>
    <row r="281" spans="10:41" x14ac:dyDescent="0.2">
      <c r="K281" s="333" t="s">
        <v>187</v>
      </c>
      <c r="L281" s="334"/>
      <c r="M281" s="391">
        <v>20.794735068511098</v>
      </c>
      <c r="N281" s="376" t="s">
        <v>186</v>
      </c>
      <c r="O281" s="333" t="s">
        <v>187</v>
      </c>
      <c r="P281" s="334"/>
      <c r="Q281" s="392">
        <v>20.794735068511098</v>
      </c>
      <c r="R281" s="376" t="s">
        <v>186</v>
      </c>
      <c r="S281" s="17"/>
      <c r="T281" s="17"/>
      <c r="U281" s="17"/>
      <c r="V281" s="17"/>
      <c r="W281" s="17"/>
      <c r="X281" s="17"/>
      <c r="Y281" s="17"/>
      <c r="Z281" s="17"/>
      <c r="AA281" s="17"/>
      <c r="AB281" s="17"/>
      <c r="AC281" s="17"/>
      <c r="AD281" s="17"/>
      <c r="AE281" s="17"/>
      <c r="AF281" s="17"/>
      <c r="AG281" s="17"/>
      <c r="AH281" s="17"/>
      <c r="AI281" s="17"/>
      <c r="AJ281" s="17"/>
      <c r="AK281" s="17"/>
      <c r="AL281" s="19"/>
      <c r="AM281" s="19"/>
      <c r="AN281" s="19"/>
      <c r="AO281" s="19"/>
    </row>
    <row r="282" spans="10:41" x14ac:dyDescent="0.2">
      <c r="K282" s="333" t="s">
        <v>188</v>
      </c>
      <c r="L282" s="334"/>
      <c r="M282" s="391">
        <v>0</v>
      </c>
      <c r="N282" s="393" t="s">
        <v>46</v>
      </c>
      <c r="O282" s="333" t="s">
        <v>188</v>
      </c>
      <c r="P282" s="334"/>
      <c r="Q282" s="391">
        <v>0</v>
      </c>
      <c r="R282" s="393" t="s">
        <v>46</v>
      </c>
      <c r="S282" s="17"/>
      <c r="T282" s="17"/>
      <c r="U282" s="17"/>
      <c r="V282" s="17"/>
      <c r="W282" s="17"/>
      <c r="X282" s="17"/>
      <c r="Y282" s="17"/>
      <c r="Z282" s="17"/>
      <c r="AA282" s="17"/>
      <c r="AB282" s="17"/>
      <c r="AC282" s="17"/>
      <c r="AD282" s="17"/>
      <c r="AE282" s="17"/>
      <c r="AF282" s="17"/>
      <c r="AG282" s="17"/>
      <c r="AH282" s="17"/>
      <c r="AI282" s="17"/>
      <c r="AJ282" s="17"/>
      <c r="AK282" s="17"/>
      <c r="AL282" s="19"/>
      <c r="AM282" s="19"/>
      <c r="AN282" s="19"/>
      <c r="AO282" s="19"/>
    </row>
    <row r="283" spans="10:41" x14ac:dyDescent="0.2">
      <c r="K283" s="340" t="s">
        <v>189</v>
      </c>
      <c r="L283" s="341"/>
      <c r="M283" s="394">
        <v>0</v>
      </c>
      <c r="N283" s="395" t="s">
        <v>46</v>
      </c>
      <c r="O283" s="340" t="s">
        <v>189</v>
      </c>
      <c r="P283" s="341"/>
      <c r="Q283" s="394">
        <v>0</v>
      </c>
      <c r="R283" s="395" t="s">
        <v>46</v>
      </c>
      <c r="S283" s="17"/>
      <c r="T283" s="17"/>
      <c r="U283" s="17"/>
      <c r="V283" s="17"/>
      <c r="W283" s="17"/>
      <c r="X283" s="17"/>
      <c r="Y283" s="17"/>
      <c r="Z283" s="17"/>
      <c r="AA283" s="17"/>
      <c r="AB283" s="17"/>
      <c r="AC283" s="17"/>
      <c r="AD283" s="17"/>
      <c r="AE283" s="17"/>
      <c r="AF283" s="17"/>
      <c r="AG283" s="17"/>
      <c r="AH283" s="17"/>
      <c r="AI283" s="17"/>
      <c r="AJ283" s="17"/>
      <c r="AK283" s="17"/>
      <c r="AL283" s="19"/>
      <c r="AM283" s="19"/>
      <c r="AN283" s="19"/>
      <c r="AO283" s="19"/>
    </row>
    <row r="284" spans="10:41" x14ac:dyDescent="0.2"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  <c r="AC284" s="17"/>
      <c r="AD284" s="17"/>
      <c r="AE284" s="17"/>
      <c r="AF284" s="17"/>
      <c r="AG284" s="17"/>
      <c r="AH284" s="17"/>
      <c r="AI284" s="17"/>
      <c r="AJ284" s="17"/>
      <c r="AK284" s="17"/>
      <c r="AL284" s="19"/>
      <c r="AM284" s="19"/>
      <c r="AN284" s="19"/>
      <c r="AO284" s="19"/>
    </row>
    <row r="285" spans="10:41" x14ac:dyDescent="0.2"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  <c r="AC285" s="17"/>
      <c r="AD285" s="17"/>
      <c r="AE285" s="17"/>
      <c r="AF285" s="17"/>
      <c r="AG285" s="17"/>
      <c r="AH285" s="17"/>
      <c r="AI285" s="17"/>
      <c r="AJ285" s="17"/>
      <c r="AK285" s="17"/>
      <c r="AL285" s="19"/>
      <c r="AM285" s="19"/>
      <c r="AN285" s="19"/>
      <c r="AO285" s="19"/>
    </row>
    <row r="286" spans="10:41" x14ac:dyDescent="0.2"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  <c r="AC286" s="17"/>
      <c r="AD286" s="17"/>
      <c r="AE286" s="17"/>
      <c r="AF286" s="17"/>
      <c r="AG286" s="17"/>
      <c r="AH286" s="17"/>
      <c r="AI286" s="17"/>
      <c r="AJ286" s="17"/>
      <c r="AK286" s="17"/>
      <c r="AL286" s="19"/>
      <c r="AM286" s="19"/>
      <c r="AN286" s="19"/>
      <c r="AO286" s="19"/>
    </row>
    <row r="287" spans="10:41" x14ac:dyDescent="0.2"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  <c r="AC287" s="17"/>
      <c r="AD287" s="17"/>
      <c r="AE287" s="17"/>
      <c r="AF287" s="17"/>
      <c r="AG287" s="17"/>
      <c r="AH287" s="17"/>
      <c r="AI287" s="17"/>
      <c r="AJ287" s="17"/>
      <c r="AK287" s="17"/>
      <c r="AL287" s="19"/>
      <c r="AM287" s="19"/>
      <c r="AN287" s="19"/>
      <c r="AO287" s="19"/>
    </row>
    <row r="288" spans="10:41" x14ac:dyDescent="0.2"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  <c r="AC288" s="17"/>
      <c r="AD288" s="17"/>
      <c r="AE288" s="17"/>
      <c r="AF288" s="17"/>
      <c r="AG288" s="17"/>
      <c r="AH288" s="17"/>
      <c r="AI288" s="17"/>
      <c r="AJ288" s="17"/>
      <c r="AK288" s="17"/>
      <c r="AL288" s="19"/>
      <c r="AM288" s="19"/>
      <c r="AN288" s="19"/>
      <c r="AO288" s="19"/>
    </row>
    <row r="289" spans="10:41" x14ac:dyDescent="0.2"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  <c r="AC289" s="17"/>
      <c r="AD289" s="17"/>
      <c r="AE289" s="17"/>
      <c r="AF289" s="17"/>
      <c r="AG289" s="17"/>
      <c r="AH289" s="17"/>
      <c r="AI289" s="17"/>
      <c r="AJ289" s="17"/>
      <c r="AK289" s="17"/>
      <c r="AL289" s="19"/>
      <c r="AM289" s="19"/>
      <c r="AN289" s="19"/>
      <c r="AO289" s="19"/>
    </row>
    <row r="290" spans="10:41" x14ac:dyDescent="0.2"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  <c r="AC290" s="17"/>
      <c r="AD290" s="17"/>
      <c r="AE290" s="17"/>
      <c r="AF290" s="17"/>
      <c r="AG290" s="17"/>
      <c r="AH290" s="17"/>
      <c r="AI290" s="17"/>
      <c r="AJ290" s="17"/>
      <c r="AK290" s="17"/>
      <c r="AL290" s="19"/>
      <c r="AM290" s="19"/>
      <c r="AN290" s="19"/>
      <c r="AO290" s="19"/>
    </row>
    <row r="291" spans="10:41" x14ac:dyDescent="0.2"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  <c r="AC291" s="17"/>
      <c r="AD291" s="17"/>
      <c r="AE291" s="17"/>
      <c r="AF291" s="17"/>
      <c r="AG291" s="17"/>
      <c r="AH291" s="17"/>
      <c r="AI291" s="17"/>
      <c r="AJ291" s="17"/>
      <c r="AK291" s="17"/>
      <c r="AL291" s="19"/>
      <c r="AM291" s="19"/>
      <c r="AN291" s="19"/>
      <c r="AO291" s="19"/>
    </row>
    <row r="292" spans="10:41" x14ac:dyDescent="0.2"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  <c r="AC292" s="17"/>
      <c r="AD292" s="17"/>
      <c r="AE292" s="17"/>
      <c r="AF292" s="17"/>
      <c r="AG292" s="17"/>
      <c r="AH292" s="17"/>
      <c r="AI292" s="17"/>
      <c r="AJ292" s="17"/>
      <c r="AK292" s="17"/>
      <c r="AL292" s="19"/>
      <c r="AM292" s="19"/>
      <c r="AN292" s="19"/>
      <c r="AO292" s="19"/>
    </row>
    <row r="293" spans="10:41" x14ac:dyDescent="0.2"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  <c r="AC293" s="17"/>
      <c r="AD293" s="17"/>
      <c r="AE293" s="17"/>
      <c r="AF293" s="17"/>
      <c r="AG293" s="17"/>
      <c r="AH293" s="17"/>
      <c r="AI293" s="17"/>
      <c r="AJ293" s="17"/>
      <c r="AK293" s="17"/>
      <c r="AL293" s="19"/>
      <c r="AM293" s="19"/>
      <c r="AN293" s="19"/>
      <c r="AO293" s="19"/>
    </row>
    <row r="294" spans="10:41" x14ac:dyDescent="0.2"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  <c r="AC294" s="17"/>
      <c r="AD294" s="17"/>
      <c r="AE294" s="17"/>
      <c r="AF294" s="17"/>
      <c r="AG294" s="17"/>
      <c r="AH294" s="17"/>
      <c r="AI294" s="17"/>
      <c r="AJ294" s="17"/>
      <c r="AK294" s="17"/>
      <c r="AL294" s="19"/>
      <c r="AM294" s="19"/>
      <c r="AN294" s="19"/>
      <c r="AO294" s="19"/>
    </row>
    <row r="295" spans="10:41" x14ac:dyDescent="0.2"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  <c r="AC295" s="17"/>
      <c r="AD295" s="17"/>
      <c r="AE295" s="17"/>
      <c r="AF295" s="17"/>
      <c r="AG295" s="17"/>
      <c r="AH295" s="17"/>
      <c r="AI295" s="17"/>
      <c r="AJ295" s="17"/>
      <c r="AK295" s="17"/>
      <c r="AL295" s="19"/>
      <c r="AM295" s="19"/>
      <c r="AN295" s="19"/>
      <c r="AO295" s="19"/>
    </row>
    <row r="296" spans="10:41" x14ac:dyDescent="0.2"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  <c r="AC296" s="17"/>
      <c r="AD296" s="17"/>
      <c r="AE296" s="17"/>
      <c r="AF296" s="17"/>
      <c r="AG296" s="17"/>
      <c r="AH296" s="17"/>
      <c r="AI296" s="17"/>
      <c r="AJ296" s="17"/>
      <c r="AK296" s="17"/>
      <c r="AL296" s="19"/>
      <c r="AM296" s="19"/>
      <c r="AN296" s="19"/>
      <c r="AO296" s="19"/>
    </row>
    <row r="297" spans="10:41" x14ac:dyDescent="0.2"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  <c r="AC297" s="17"/>
      <c r="AD297" s="17"/>
      <c r="AE297" s="17"/>
      <c r="AF297" s="17"/>
      <c r="AG297" s="17"/>
      <c r="AH297" s="17"/>
      <c r="AI297" s="17"/>
      <c r="AJ297" s="17"/>
      <c r="AK297" s="17"/>
      <c r="AL297" s="19"/>
      <c r="AM297" s="19"/>
      <c r="AN297" s="19"/>
      <c r="AO297" s="19"/>
    </row>
    <row r="298" spans="10:41" x14ac:dyDescent="0.2"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  <c r="AC298" s="17"/>
      <c r="AD298" s="17"/>
      <c r="AE298" s="17"/>
      <c r="AF298" s="17"/>
      <c r="AG298" s="17"/>
      <c r="AH298" s="17"/>
      <c r="AI298" s="17"/>
      <c r="AJ298" s="17"/>
      <c r="AK298" s="17"/>
      <c r="AL298" s="19"/>
      <c r="AM298" s="19"/>
      <c r="AN298" s="19"/>
      <c r="AO298" s="19"/>
    </row>
    <row r="299" spans="10:41" x14ac:dyDescent="0.2"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  <c r="AC299" s="17"/>
      <c r="AD299" s="17"/>
      <c r="AE299" s="17"/>
      <c r="AF299" s="17"/>
      <c r="AG299" s="17"/>
      <c r="AH299" s="17"/>
      <c r="AI299" s="17"/>
      <c r="AJ299" s="17"/>
      <c r="AK299" s="17"/>
      <c r="AL299" s="19"/>
      <c r="AM299" s="19"/>
      <c r="AN299" s="19"/>
      <c r="AO299" s="19"/>
    </row>
    <row r="300" spans="10:41" x14ac:dyDescent="0.2"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  <c r="AC300" s="17"/>
      <c r="AD300" s="17"/>
      <c r="AE300" s="17"/>
      <c r="AF300" s="17"/>
      <c r="AG300" s="17"/>
      <c r="AH300" s="17"/>
      <c r="AI300" s="17"/>
      <c r="AJ300" s="17"/>
      <c r="AK300" s="17"/>
      <c r="AL300" s="19"/>
      <c r="AM300" s="19"/>
      <c r="AN300" s="19"/>
      <c r="AO300" s="19"/>
    </row>
    <row r="301" spans="10:41" x14ac:dyDescent="0.2"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  <c r="AC301" s="17"/>
      <c r="AD301" s="17"/>
      <c r="AE301" s="17"/>
      <c r="AF301" s="17"/>
      <c r="AG301" s="17"/>
      <c r="AH301" s="17"/>
      <c r="AI301" s="17"/>
      <c r="AJ301" s="17"/>
      <c r="AK301" s="17"/>
      <c r="AL301" s="19"/>
      <c r="AM301" s="19"/>
      <c r="AN301" s="19"/>
      <c r="AO301" s="19"/>
    </row>
    <row r="302" spans="10:41" x14ac:dyDescent="0.2"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  <c r="AC302" s="17"/>
      <c r="AD302" s="17"/>
      <c r="AE302" s="17"/>
      <c r="AF302" s="17"/>
      <c r="AG302" s="17"/>
      <c r="AH302" s="17"/>
      <c r="AI302" s="17"/>
      <c r="AJ302" s="17"/>
      <c r="AK302" s="17"/>
      <c r="AL302" s="19"/>
      <c r="AM302" s="19"/>
      <c r="AN302" s="19"/>
      <c r="AO302" s="19"/>
    </row>
    <row r="303" spans="10:41" x14ac:dyDescent="0.2"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  <c r="AC303" s="17"/>
      <c r="AD303" s="17"/>
      <c r="AE303" s="17"/>
      <c r="AF303" s="17"/>
      <c r="AG303" s="17"/>
      <c r="AH303" s="17"/>
      <c r="AI303" s="17"/>
      <c r="AJ303" s="17"/>
      <c r="AK303" s="17"/>
      <c r="AL303" s="19"/>
      <c r="AM303" s="19"/>
      <c r="AN303" s="19"/>
      <c r="AO303" s="19"/>
    </row>
    <row r="304" spans="10:41" x14ac:dyDescent="0.2"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  <c r="AC304" s="17"/>
      <c r="AD304" s="17"/>
      <c r="AE304" s="17"/>
      <c r="AF304" s="17"/>
      <c r="AG304" s="17"/>
      <c r="AH304" s="17"/>
      <c r="AI304" s="17"/>
      <c r="AJ304" s="17"/>
      <c r="AK304" s="17"/>
      <c r="AL304" s="19"/>
      <c r="AM304" s="19"/>
      <c r="AN304" s="19"/>
      <c r="AO304" s="19"/>
    </row>
    <row r="305" spans="10:41" x14ac:dyDescent="0.2"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  <c r="AC305" s="17"/>
      <c r="AD305" s="17"/>
      <c r="AE305" s="17"/>
      <c r="AF305" s="17"/>
      <c r="AG305" s="17"/>
      <c r="AH305" s="17"/>
      <c r="AI305" s="17"/>
      <c r="AJ305" s="17"/>
      <c r="AK305" s="17"/>
      <c r="AL305" s="19"/>
      <c r="AM305" s="19"/>
      <c r="AN305" s="19"/>
      <c r="AO305" s="19"/>
    </row>
    <row r="306" spans="10:41" x14ac:dyDescent="0.2"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  <c r="AC306" s="17"/>
      <c r="AD306" s="17"/>
      <c r="AE306" s="17"/>
      <c r="AF306" s="17"/>
      <c r="AG306" s="17"/>
      <c r="AH306" s="17"/>
      <c r="AI306" s="17"/>
      <c r="AJ306" s="17"/>
      <c r="AK306" s="17"/>
      <c r="AL306" s="19"/>
      <c r="AM306" s="19"/>
      <c r="AN306" s="19"/>
      <c r="AO306" s="19"/>
    </row>
    <row r="307" spans="10:41" x14ac:dyDescent="0.2"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  <c r="AC307" s="17"/>
      <c r="AD307" s="17"/>
      <c r="AE307" s="17"/>
      <c r="AF307" s="17"/>
      <c r="AG307" s="17"/>
      <c r="AH307" s="17"/>
      <c r="AI307" s="17"/>
      <c r="AJ307" s="17"/>
      <c r="AK307" s="17"/>
      <c r="AL307" s="19"/>
      <c r="AM307" s="19"/>
      <c r="AN307" s="19"/>
      <c r="AO307" s="19"/>
    </row>
    <row r="308" spans="10:41" x14ac:dyDescent="0.2"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  <c r="AC308" s="17"/>
      <c r="AD308" s="17"/>
      <c r="AE308" s="17"/>
      <c r="AF308" s="17"/>
      <c r="AG308" s="17"/>
      <c r="AH308" s="17"/>
      <c r="AI308" s="17"/>
      <c r="AJ308" s="17"/>
      <c r="AK308" s="17"/>
      <c r="AL308" s="19"/>
      <c r="AM308" s="19"/>
      <c r="AN308" s="19"/>
      <c r="AO308" s="19"/>
    </row>
    <row r="309" spans="10:41" x14ac:dyDescent="0.2"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  <c r="AC309" s="17"/>
      <c r="AD309" s="17"/>
      <c r="AE309" s="17"/>
      <c r="AF309" s="17"/>
      <c r="AG309" s="17"/>
      <c r="AH309" s="17"/>
      <c r="AI309" s="17"/>
      <c r="AJ309" s="17"/>
      <c r="AK309" s="17"/>
      <c r="AL309" s="19"/>
      <c r="AM309" s="19"/>
      <c r="AN309" s="19"/>
      <c r="AO309" s="19"/>
    </row>
    <row r="310" spans="10:41" x14ac:dyDescent="0.2"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  <c r="AC310" s="17"/>
      <c r="AD310" s="17"/>
      <c r="AE310" s="17"/>
      <c r="AF310" s="17"/>
      <c r="AG310" s="17"/>
      <c r="AH310" s="17"/>
      <c r="AI310" s="17"/>
      <c r="AJ310" s="17"/>
      <c r="AK310" s="17"/>
      <c r="AL310" s="19"/>
      <c r="AM310" s="19"/>
      <c r="AN310" s="19"/>
      <c r="AO310" s="19"/>
    </row>
    <row r="311" spans="10:41" x14ac:dyDescent="0.2"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  <c r="AC311" s="17"/>
      <c r="AD311" s="17"/>
      <c r="AE311" s="17"/>
      <c r="AF311" s="17"/>
      <c r="AG311" s="17"/>
      <c r="AH311" s="17"/>
      <c r="AI311" s="17"/>
      <c r="AJ311" s="17"/>
      <c r="AK311" s="17"/>
      <c r="AL311" s="19"/>
      <c r="AM311" s="19"/>
      <c r="AN311" s="19"/>
      <c r="AO311" s="19"/>
    </row>
    <row r="312" spans="10:41" x14ac:dyDescent="0.2"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  <c r="AC312" s="17"/>
      <c r="AD312" s="17"/>
      <c r="AE312" s="17"/>
      <c r="AF312" s="17"/>
      <c r="AG312" s="17"/>
      <c r="AH312" s="17"/>
      <c r="AI312" s="17"/>
      <c r="AJ312" s="17"/>
      <c r="AK312" s="17"/>
      <c r="AL312" s="19"/>
      <c r="AM312" s="19"/>
      <c r="AN312" s="19"/>
      <c r="AO312" s="19"/>
    </row>
    <row r="313" spans="10:41" x14ac:dyDescent="0.2"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  <c r="AC313" s="17"/>
      <c r="AD313" s="17"/>
      <c r="AE313" s="17"/>
      <c r="AF313" s="17"/>
      <c r="AG313" s="17"/>
      <c r="AH313" s="17"/>
      <c r="AI313" s="17"/>
      <c r="AJ313" s="17"/>
      <c r="AK313" s="17"/>
      <c r="AL313" s="19"/>
      <c r="AM313" s="19"/>
      <c r="AN313" s="19"/>
      <c r="AO313" s="19"/>
    </row>
    <row r="314" spans="10:41" x14ac:dyDescent="0.2"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  <c r="AC314" s="17"/>
      <c r="AD314" s="17"/>
      <c r="AE314" s="17"/>
      <c r="AF314" s="17"/>
      <c r="AG314" s="17"/>
      <c r="AH314" s="17"/>
      <c r="AI314" s="17"/>
      <c r="AJ314" s="17"/>
      <c r="AK314" s="17"/>
      <c r="AL314" s="19"/>
      <c r="AM314" s="19"/>
      <c r="AN314" s="19"/>
      <c r="AO314" s="19"/>
    </row>
    <row r="315" spans="10:41" x14ac:dyDescent="0.2"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  <c r="AC315" s="17"/>
      <c r="AD315" s="17"/>
      <c r="AE315" s="17"/>
      <c r="AF315" s="17"/>
      <c r="AG315" s="17"/>
      <c r="AH315" s="17"/>
      <c r="AI315" s="17"/>
      <c r="AJ315" s="17"/>
      <c r="AK315" s="17"/>
      <c r="AL315" s="19"/>
      <c r="AM315" s="19"/>
      <c r="AN315" s="19"/>
      <c r="AO315" s="19"/>
    </row>
    <row r="316" spans="10:41" x14ac:dyDescent="0.2">
      <c r="J316" s="17"/>
      <c r="K316" s="17"/>
      <c r="L316" s="17"/>
      <c r="M316" s="17"/>
      <c r="N316" s="17"/>
      <c r="O316" s="17"/>
      <c r="P316" s="17"/>
      <c r="Q316" s="17"/>
      <c r="Z316" s="17"/>
      <c r="AA316" s="17"/>
      <c r="AB316" s="17"/>
      <c r="AC316" s="17"/>
      <c r="AD316" s="17"/>
      <c r="AE316" s="17"/>
      <c r="AF316" s="17"/>
      <c r="AG316" s="17"/>
      <c r="AH316" s="17"/>
      <c r="AI316" s="17"/>
      <c r="AJ316" s="17"/>
      <c r="AK316" s="17"/>
      <c r="AL316" s="19"/>
      <c r="AM316" s="19"/>
      <c r="AN316" s="19"/>
      <c r="AO316" s="19"/>
    </row>
    <row r="317" spans="10:41" x14ac:dyDescent="0.2">
      <c r="J317" s="17"/>
      <c r="K317" s="17"/>
      <c r="L317" s="17"/>
      <c r="M317" s="17"/>
      <c r="N317" s="17"/>
      <c r="O317" s="17"/>
      <c r="P317" s="17"/>
      <c r="Q317" s="17"/>
      <c r="Z317" s="17"/>
      <c r="AA317" s="17"/>
      <c r="AB317" s="17"/>
      <c r="AC317" s="17"/>
      <c r="AD317" s="17"/>
      <c r="AE317" s="17"/>
      <c r="AF317" s="17"/>
      <c r="AG317" s="17"/>
      <c r="AH317" s="17"/>
      <c r="AI317" s="17"/>
      <c r="AJ317" s="17"/>
      <c r="AK317" s="17"/>
      <c r="AL317" s="19"/>
      <c r="AM317" s="19"/>
      <c r="AN317" s="19"/>
      <c r="AO317" s="19"/>
    </row>
    <row r="318" spans="10:41" x14ac:dyDescent="0.2">
      <c r="J318" s="17"/>
      <c r="K318" s="17"/>
      <c r="L318" s="17"/>
      <c r="M318" s="17"/>
      <c r="N318" s="17"/>
      <c r="O318" s="17"/>
      <c r="P318" s="17"/>
      <c r="Q318" s="17"/>
      <c r="Z318" s="17"/>
      <c r="AA318" s="17"/>
      <c r="AB318" s="17"/>
      <c r="AC318" s="17"/>
      <c r="AD318" s="17"/>
      <c r="AE318" s="17"/>
      <c r="AF318" s="17"/>
      <c r="AG318" s="17"/>
      <c r="AH318" s="17"/>
      <c r="AI318" s="17"/>
      <c r="AJ318" s="17"/>
      <c r="AK318" s="17"/>
      <c r="AL318" s="19"/>
      <c r="AM318" s="19"/>
      <c r="AN318" s="19"/>
      <c r="AO318" s="19"/>
    </row>
    <row r="319" spans="10:41" x14ac:dyDescent="0.2">
      <c r="J319" s="17"/>
      <c r="K319" s="17"/>
      <c r="L319" s="17"/>
      <c r="M319" s="17"/>
      <c r="N319" s="17"/>
      <c r="O319" s="17"/>
      <c r="P319" s="17"/>
      <c r="Q319" s="17"/>
      <c r="Z319" s="17"/>
      <c r="AA319" s="17"/>
      <c r="AB319" s="17"/>
      <c r="AC319" s="17"/>
      <c r="AD319" s="17"/>
      <c r="AE319" s="17"/>
      <c r="AF319" s="17"/>
      <c r="AG319" s="17"/>
      <c r="AH319" s="17"/>
      <c r="AI319" s="17"/>
      <c r="AJ319" s="17"/>
      <c r="AK319" s="17"/>
      <c r="AL319" s="19"/>
      <c r="AM319" s="19"/>
      <c r="AN319" s="19"/>
      <c r="AO319" s="19"/>
    </row>
    <row r="320" spans="10:41" x14ac:dyDescent="0.2">
      <c r="J320" s="17"/>
      <c r="K320" s="17"/>
      <c r="L320" s="17"/>
      <c r="M320" s="17"/>
      <c r="N320" s="17"/>
      <c r="O320" s="17"/>
      <c r="P320" s="17"/>
      <c r="Q320" s="17"/>
      <c r="Z320" s="17"/>
      <c r="AA320" s="17"/>
      <c r="AB320" s="17"/>
      <c r="AC320" s="17"/>
      <c r="AD320" s="17"/>
      <c r="AE320" s="17"/>
      <c r="AF320" s="17"/>
      <c r="AG320" s="17"/>
      <c r="AH320" s="17"/>
      <c r="AI320" s="17"/>
      <c r="AJ320" s="17"/>
      <c r="AK320" s="17"/>
      <c r="AL320" s="19"/>
      <c r="AM320" s="19"/>
      <c r="AN320" s="19"/>
      <c r="AO320" s="19"/>
    </row>
    <row r="321" spans="10:41" x14ac:dyDescent="0.2">
      <c r="J321" s="17"/>
      <c r="K321" s="17"/>
      <c r="L321" s="17"/>
      <c r="M321" s="17"/>
      <c r="N321" s="17"/>
      <c r="O321" s="17"/>
      <c r="P321" s="17"/>
      <c r="Q321" s="17"/>
      <c r="Z321" s="17"/>
      <c r="AA321" s="17"/>
      <c r="AB321" s="17"/>
      <c r="AC321" s="17"/>
      <c r="AD321" s="17"/>
      <c r="AE321" s="17"/>
      <c r="AF321" s="17"/>
      <c r="AG321" s="17"/>
      <c r="AH321" s="17"/>
      <c r="AI321" s="17"/>
      <c r="AJ321" s="17"/>
      <c r="AK321" s="17"/>
      <c r="AL321" s="19"/>
      <c r="AM321" s="19"/>
      <c r="AN321" s="19"/>
      <c r="AO321" s="19"/>
    </row>
    <row r="322" spans="10:41" x14ac:dyDescent="0.2">
      <c r="J322" s="17"/>
      <c r="K322" s="17"/>
      <c r="L322" s="17"/>
      <c r="M322" s="17"/>
      <c r="N322" s="17"/>
      <c r="O322" s="17"/>
      <c r="P322" s="17"/>
      <c r="Q322" s="17"/>
      <c r="Z322" s="17"/>
      <c r="AA322" s="17"/>
      <c r="AB322" s="17"/>
      <c r="AC322" s="17"/>
      <c r="AD322" s="17"/>
      <c r="AE322" s="17"/>
      <c r="AF322" s="17"/>
      <c r="AG322" s="17"/>
      <c r="AH322" s="17"/>
      <c r="AI322" s="17"/>
      <c r="AJ322" s="17"/>
      <c r="AK322" s="17"/>
      <c r="AL322" s="19"/>
      <c r="AM322" s="19"/>
      <c r="AN322" s="19"/>
      <c r="AO322" s="19"/>
    </row>
    <row r="323" spans="10:41" x14ac:dyDescent="0.2">
      <c r="J323" s="17"/>
      <c r="K323" s="17"/>
      <c r="L323" s="17"/>
      <c r="M323" s="17"/>
      <c r="N323" s="17"/>
      <c r="O323" s="17"/>
      <c r="P323" s="17"/>
      <c r="Q323" s="17"/>
      <c r="Z323" s="17"/>
      <c r="AA323" s="17"/>
      <c r="AB323" s="17"/>
      <c r="AC323" s="17"/>
      <c r="AD323" s="17"/>
      <c r="AE323" s="17"/>
      <c r="AF323" s="17"/>
      <c r="AG323" s="17"/>
      <c r="AH323" s="17"/>
      <c r="AI323" s="17"/>
      <c r="AJ323" s="17"/>
      <c r="AK323" s="17"/>
      <c r="AL323" s="19"/>
      <c r="AM323" s="19"/>
      <c r="AN323" s="19"/>
      <c r="AO323" s="19"/>
    </row>
    <row r="324" spans="10:41" x14ac:dyDescent="0.2">
      <c r="J324" s="17"/>
      <c r="K324" s="17"/>
      <c r="L324" s="17"/>
      <c r="M324" s="17"/>
      <c r="N324" s="17"/>
      <c r="O324" s="17"/>
      <c r="P324" s="17"/>
      <c r="Q324" s="17"/>
      <c r="Z324" s="17"/>
      <c r="AA324" s="17"/>
      <c r="AB324" s="17"/>
      <c r="AC324" s="17"/>
      <c r="AD324" s="17"/>
      <c r="AE324" s="17"/>
      <c r="AF324" s="17"/>
      <c r="AG324" s="17"/>
      <c r="AH324" s="17"/>
      <c r="AI324" s="17"/>
      <c r="AJ324" s="17"/>
      <c r="AK324" s="17"/>
      <c r="AL324" s="19"/>
      <c r="AM324" s="19"/>
      <c r="AN324" s="19"/>
      <c r="AO324" s="19"/>
    </row>
    <row r="325" spans="10:41" x14ac:dyDescent="0.2">
      <c r="J325" s="17"/>
      <c r="K325" s="17"/>
      <c r="L325" s="17"/>
      <c r="M325" s="17"/>
      <c r="N325" s="17"/>
      <c r="O325" s="17"/>
      <c r="P325" s="17"/>
      <c r="Q325" s="17"/>
      <c r="Z325" s="17"/>
      <c r="AA325" s="17"/>
      <c r="AB325" s="17"/>
      <c r="AC325" s="17"/>
      <c r="AD325" s="17"/>
      <c r="AE325" s="17"/>
      <c r="AF325" s="17"/>
      <c r="AG325" s="17"/>
      <c r="AH325" s="17"/>
      <c r="AI325" s="17"/>
      <c r="AJ325" s="17"/>
      <c r="AK325" s="17"/>
      <c r="AL325" s="19"/>
      <c r="AM325" s="19"/>
      <c r="AN325" s="19"/>
      <c r="AO325" s="19"/>
    </row>
    <row r="326" spans="10:41" x14ac:dyDescent="0.2">
      <c r="J326" s="17"/>
      <c r="K326" s="17"/>
      <c r="L326" s="17"/>
      <c r="M326" s="17"/>
      <c r="N326" s="17"/>
      <c r="O326" s="17"/>
      <c r="P326" s="17"/>
      <c r="Q326" s="17"/>
      <c r="Z326" s="17"/>
      <c r="AA326" s="17"/>
      <c r="AB326" s="17"/>
      <c r="AC326" s="17"/>
      <c r="AD326" s="17"/>
      <c r="AE326" s="17"/>
      <c r="AF326" s="17"/>
      <c r="AG326" s="17"/>
      <c r="AH326" s="17"/>
      <c r="AI326" s="17"/>
      <c r="AJ326" s="17"/>
      <c r="AK326" s="17"/>
      <c r="AL326" s="19"/>
      <c r="AM326" s="19"/>
      <c r="AN326" s="19"/>
      <c r="AO326" s="19"/>
    </row>
    <row r="327" spans="10:41" x14ac:dyDescent="0.2">
      <c r="J327" s="17"/>
      <c r="K327" s="17"/>
      <c r="L327" s="17"/>
      <c r="M327" s="17"/>
      <c r="N327" s="17"/>
      <c r="O327" s="17"/>
      <c r="P327" s="17"/>
      <c r="Q327" s="17"/>
      <c r="Z327" s="17"/>
      <c r="AA327" s="17"/>
      <c r="AB327" s="17"/>
      <c r="AC327" s="17"/>
      <c r="AD327" s="17"/>
      <c r="AE327" s="17"/>
      <c r="AF327" s="17"/>
      <c r="AG327" s="17"/>
      <c r="AH327" s="17"/>
      <c r="AI327" s="17"/>
      <c r="AJ327" s="17"/>
      <c r="AK327" s="17"/>
      <c r="AL327" s="19"/>
      <c r="AM327" s="19"/>
      <c r="AN327" s="19"/>
      <c r="AO327" s="19"/>
    </row>
    <row r="328" spans="10:41" x14ac:dyDescent="0.2">
      <c r="J328" s="17"/>
      <c r="K328" s="17"/>
      <c r="L328" s="17"/>
      <c r="M328" s="17"/>
      <c r="N328" s="17"/>
      <c r="O328" s="17"/>
      <c r="P328" s="17"/>
      <c r="Q328" s="17"/>
      <c r="Z328" s="17"/>
      <c r="AA328" s="17"/>
      <c r="AB328" s="17"/>
      <c r="AC328" s="17"/>
      <c r="AD328" s="17"/>
      <c r="AE328" s="17"/>
      <c r="AF328" s="17"/>
      <c r="AG328" s="17"/>
      <c r="AH328" s="17"/>
      <c r="AI328" s="17"/>
      <c r="AJ328" s="17"/>
      <c r="AK328" s="17"/>
      <c r="AL328" s="19"/>
      <c r="AM328" s="19"/>
      <c r="AN328" s="19"/>
      <c r="AO328" s="19"/>
    </row>
    <row r="329" spans="10:41" x14ac:dyDescent="0.2">
      <c r="J329" s="17"/>
      <c r="K329" s="17"/>
      <c r="L329" s="17"/>
      <c r="M329" s="17"/>
      <c r="N329" s="17"/>
      <c r="O329" s="17"/>
      <c r="P329" s="17"/>
      <c r="Q329" s="17"/>
      <c r="R329" s="17"/>
      <c r="Z329" s="17"/>
      <c r="AA329" s="17"/>
      <c r="AB329" s="17"/>
      <c r="AC329" s="17"/>
      <c r="AD329" s="17"/>
      <c r="AE329" s="17"/>
      <c r="AF329" s="17"/>
      <c r="AG329" s="17"/>
      <c r="AH329" s="17"/>
      <c r="AI329" s="17"/>
      <c r="AJ329" s="17"/>
      <c r="AK329" s="17"/>
      <c r="AL329" s="19"/>
      <c r="AM329" s="19"/>
      <c r="AN329" s="19"/>
      <c r="AO329" s="19"/>
    </row>
    <row r="330" spans="10:41" x14ac:dyDescent="0.2">
      <c r="J330" s="17"/>
      <c r="K330" s="17"/>
      <c r="L330" s="17"/>
      <c r="M330" s="17"/>
      <c r="N330" s="17"/>
      <c r="O330" s="17"/>
      <c r="P330" s="17"/>
      <c r="Q330" s="17"/>
      <c r="R330" s="17"/>
      <c r="Z330" s="17"/>
      <c r="AA330" s="17"/>
      <c r="AB330" s="17"/>
      <c r="AC330" s="17"/>
      <c r="AD330" s="17"/>
      <c r="AE330" s="17"/>
      <c r="AF330" s="17"/>
      <c r="AG330" s="17"/>
      <c r="AH330" s="17"/>
      <c r="AI330" s="17"/>
      <c r="AJ330" s="17"/>
      <c r="AK330" s="17"/>
      <c r="AL330" s="19"/>
      <c r="AM330" s="19"/>
      <c r="AN330" s="19"/>
      <c r="AO330" s="19"/>
    </row>
    <row r="331" spans="10:41" x14ac:dyDescent="0.2">
      <c r="J331" s="17"/>
      <c r="K331" s="17"/>
      <c r="L331" s="17"/>
      <c r="M331" s="17"/>
      <c r="N331" s="17"/>
      <c r="O331" s="17"/>
      <c r="P331" s="17"/>
      <c r="Q331" s="17"/>
      <c r="R331" s="17"/>
      <c r="Z331" s="17"/>
      <c r="AA331" s="17"/>
      <c r="AB331" s="17"/>
      <c r="AC331" s="17"/>
      <c r="AD331" s="17"/>
      <c r="AE331" s="17"/>
      <c r="AF331" s="17"/>
      <c r="AG331" s="17"/>
      <c r="AH331" s="17"/>
      <c r="AI331" s="17"/>
      <c r="AJ331" s="17"/>
      <c r="AK331" s="17"/>
      <c r="AL331" s="19"/>
      <c r="AM331" s="19"/>
      <c r="AN331" s="19"/>
      <c r="AO331" s="19"/>
    </row>
    <row r="332" spans="10:41" x14ac:dyDescent="0.2">
      <c r="J332" s="17"/>
      <c r="K332" s="17"/>
      <c r="L332" s="17"/>
      <c r="M332" s="17"/>
      <c r="N332" s="17"/>
      <c r="O332" s="17"/>
      <c r="P332" s="17"/>
      <c r="Q332" s="17"/>
      <c r="R332" s="17"/>
      <c r="Z332" s="17"/>
      <c r="AA332" s="17"/>
      <c r="AB332" s="17"/>
      <c r="AC332" s="17"/>
      <c r="AD332" s="17"/>
      <c r="AE332" s="17"/>
      <c r="AF332" s="17"/>
      <c r="AG332" s="17"/>
      <c r="AH332" s="17"/>
      <c r="AI332" s="17"/>
      <c r="AJ332" s="17"/>
      <c r="AK332" s="17"/>
      <c r="AL332" s="19"/>
      <c r="AM332" s="19"/>
      <c r="AN332" s="19"/>
      <c r="AO332" s="19"/>
    </row>
    <row r="333" spans="10:41" x14ac:dyDescent="0.2">
      <c r="J333" s="17"/>
      <c r="K333" s="17"/>
      <c r="L333" s="17"/>
      <c r="M333" s="17"/>
      <c r="N333" s="17"/>
      <c r="O333" s="17"/>
      <c r="P333" s="17"/>
      <c r="Q333" s="17"/>
      <c r="R333" s="17"/>
      <c r="Z333" s="17"/>
      <c r="AA333" s="17"/>
      <c r="AB333" s="17"/>
      <c r="AC333" s="17"/>
      <c r="AD333" s="17"/>
      <c r="AE333" s="17"/>
      <c r="AF333" s="17"/>
      <c r="AG333" s="17"/>
      <c r="AH333" s="17"/>
      <c r="AI333" s="17"/>
      <c r="AJ333" s="17"/>
      <c r="AK333" s="17"/>
      <c r="AL333" s="19"/>
      <c r="AM333" s="19"/>
      <c r="AN333" s="19"/>
      <c r="AO333" s="19"/>
    </row>
    <row r="334" spans="10:41" x14ac:dyDescent="0.2">
      <c r="J334" s="17"/>
      <c r="K334" s="17"/>
      <c r="L334" s="17"/>
      <c r="M334" s="17"/>
      <c r="N334" s="17"/>
      <c r="O334" s="17"/>
      <c r="P334" s="17"/>
      <c r="Q334" s="17"/>
      <c r="R334" s="17"/>
      <c r="Z334" s="17"/>
      <c r="AA334" s="17"/>
      <c r="AB334" s="17"/>
      <c r="AC334" s="17"/>
      <c r="AD334" s="17"/>
      <c r="AE334" s="17"/>
      <c r="AF334" s="17"/>
      <c r="AG334" s="17"/>
      <c r="AH334" s="17"/>
      <c r="AI334" s="17"/>
      <c r="AJ334" s="17"/>
      <c r="AK334" s="17"/>
      <c r="AL334" s="19"/>
      <c r="AM334" s="19"/>
      <c r="AN334" s="19"/>
      <c r="AO334" s="19"/>
    </row>
    <row r="335" spans="10:41" x14ac:dyDescent="0.2"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  <c r="AC335" s="17"/>
      <c r="AD335" s="17"/>
      <c r="AE335" s="17"/>
      <c r="AF335" s="17"/>
      <c r="AG335" s="17"/>
      <c r="AH335" s="17"/>
      <c r="AI335" s="17"/>
      <c r="AJ335" s="17"/>
      <c r="AK335" s="17"/>
      <c r="AL335" s="19"/>
      <c r="AM335" s="19"/>
      <c r="AN335" s="19"/>
      <c r="AO335" s="19"/>
    </row>
    <row r="336" spans="10:41" x14ac:dyDescent="0.2"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  <c r="AC336" s="17"/>
      <c r="AD336" s="17"/>
      <c r="AE336" s="17"/>
      <c r="AF336" s="17"/>
      <c r="AG336" s="17"/>
      <c r="AH336" s="17"/>
      <c r="AI336" s="17"/>
      <c r="AJ336" s="17"/>
      <c r="AK336" s="17"/>
      <c r="AL336" s="19"/>
      <c r="AM336" s="19"/>
      <c r="AN336" s="19"/>
      <c r="AO336" s="19"/>
    </row>
    <row r="337" spans="10:41" x14ac:dyDescent="0.2"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  <c r="AC337" s="17"/>
      <c r="AD337" s="17"/>
      <c r="AE337" s="17"/>
      <c r="AF337" s="17"/>
      <c r="AG337" s="17"/>
      <c r="AH337" s="17"/>
      <c r="AI337" s="17"/>
      <c r="AJ337" s="17"/>
      <c r="AK337" s="17"/>
      <c r="AL337" s="19"/>
      <c r="AM337" s="19"/>
      <c r="AN337" s="19"/>
      <c r="AO337" s="19"/>
    </row>
    <row r="338" spans="10:41" x14ac:dyDescent="0.2"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  <c r="AC338" s="17"/>
      <c r="AD338" s="17"/>
      <c r="AE338" s="17"/>
      <c r="AF338" s="17"/>
      <c r="AG338" s="17"/>
      <c r="AH338" s="17"/>
      <c r="AI338" s="17"/>
      <c r="AJ338" s="17"/>
      <c r="AK338" s="17"/>
      <c r="AL338" s="19"/>
      <c r="AM338" s="19"/>
      <c r="AN338" s="19"/>
      <c r="AO338" s="19"/>
    </row>
    <row r="339" spans="10:41" x14ac:dyDescent="0.2"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  <c r="AB339" s="17"/>
      <c r="AC339" s="17"/>
      <c r="AD339" s="17"/>
      <c r="AE339" s="17"/>
      <c r="AF339" s="17"/>
      <c r="AG339" s="17"/>
      <c r="AH339" s="17"/>
      <c r="AI339" s="17"/>
      <c r="AJ339" s="17"/>
      <c r="AK339" s="17"/>
      <c r="AL339" s="19"/>
      <c r="AM339" s="19"/>
      <c r="AN339" s="19"/>
      <c r="AO339" s="19"/>
    </row>
    <row r="340" spans="10:41" x14ac:dyDescent="0.2"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  <c r="AC340" s="17"/>
      <c r="AD340" s="17"/>
      <c r="AE340" s="17"/>
      <c r="AF340" s="17"/>
      <c r="AG340" s="17"/>
      <c r="AH340" s="17"/>
      <c r="AI340" s="17"/>
      <c r="AJ340" s="17"/>
      <c r="AK340" s="17"/>
      <c r="AL340" s="19"/>
      <c r="AM340" s="19"/>
      <c r="AN340" s="19"/>
      <c r="AO340" s="19"/>
    </row>
    <row r="341" spans="10:41" x14ac:dyDescent="0.2"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  <c r="AC341" s="17"/>
      <c r="AD341" s="17"/>
      <c r="AE341" s="17"/>
      <c r="AF341" s="17"/>
      <c r="AG341" s="17"/>
      <c r="AH341" s="17"/>
      <c r="AI341" s="17"/>
      <c r="AJ341" s="17"/>
      <c r="AK341" s="17"/>
      <c r="AL341" s="19"/>
      <c r="AM341" s="19"/>
      <c r="AN341" s="19"/>
      <c r="AO341" s="19"/>
    </row>
    <row r="342" spans="10:41" x14ac:dyDescent="0.2"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  <c r="AC342" s="17"/>
      <c r="AD342" s="17"/>
      <c r="AE342" s="17"/>
      <c r="AF342" s="17"/>
      <c r="AG342" s="17"/>
      <c r="AH342" s="17"/>
      <c r="AI342" s="17"/>
      <c r="AJ342" s="17"/>
      <c r="AK342" s="17"/>
      <c r="AL342" s="19"/>
      <c r="AM342" s="19"/>
      <c r="AN342" s="19"/>
      <c r="AO342" s="19"/>
    </row>
    <row r="343" spans="10:41" x14ac:dyDescent="0.2"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  <c r="AC343" s="17"/>
      <c r="AD343" s="17"/>
      <c r="AE343" s="17"/>
      <c r="AF343" s="17"/>
      <c r="AG343" s="17"/>
      <c r="AH343" s="17"/>
      <c r="AI343" s="17"/>
      <c r="AJ343" s="17"/>
      <c r="AK343" s="17"/>
      <c r="AL343" s="19"/>
      <c r="AM343" s="19"/>
      <c r="AN343" s="19"/>
      <c r="AO343" s="19"/>
    </row>
    <row r="344" spans="10:41" x14ac:dyDescent="0.2"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  <c r="AC344" s="17"/>
      <c r="AD344" s="17"/>
      <c r="AE344" s="17"/>
      <c r="AF344" s="17"/>
      <c r="AG344" s="17"/>
      <c r="AH344" s="17"/>
      <c r="AI344" s="17"/>
      <c r="AJ344" s="17"/>
      <c r="AK344" s="17"/>
      <c r="AL344" s="19"/>
      <c r="AM344" s="19"/>
      <c r="AN344" s="19"/>
      <c r="AO344" s="19"/>
    </row>
    <row r="345" spans="10:41" x14ac:dyDescent="0.2"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  <c r="AC345" s="17"/>
      <c r="AD345" s="17"/>
      <c r="AE345" s="17"/>
      <c r="AF345" s="17"/>
      <c r="AG345" s="17"/>
      <c r="AH345" s="17"/>
      <c r="AI345" s="17"/>
      <c r="AJ345" s="17"/>
      <c r="AK345" s="17"/>
      <c r="AL345" s="19"/>
      <c r="AM345" s="19"/>
      <c r="AN345" s="19"/>
      <c r="AO345" s="19"/>
    </row>
    <row r="346" spans="10:41" x14ac:dyDescent="0.2"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  <c r="AB346" s="17"/>
      <c r="AC346" s="17"/>
      <c r="AD346" s="17"/>
      <c r="AE346" s="17"/>
      <c r="AF346" s="17"/>
      <c r="AG346" s="17"/>
      <c r="AH346" s="17"/>
      <c r="AI346" s="17"/>
      <c r="AJ346" s="17"/>
      <c r="AK346" s="17"/>
      <c r="AL346" s="19"/>
      <c r="AM346" s="19"/>
      <c r="AN346" s="19"/>
      <c r="AO346" s="19"/>
    </row>
    <row r="347" spans="10:41" x14ac:dyDescent="0.2"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  <c r="AC347" s="17"/>
      <c r="AD347" s="17"/>
      <c r="AE347" s="17"/>
      <c r="AF347" s="17"/>
      <c r="AG347" s="17"/>
      <c r="AH347" s="17"/>
      <c r="AI347" s="17"/>
      <c r="AJ347" s="17"/>
      <c r="AK347" s="17"/>
      <c r="AL347" s="19"/>
      <c r="AM347" s="19"/>
      <c r="AN347" s="19"/>
      <c r="AO347" s="19"/>
    </row>
    <row r="348" spans="10:41" x14ac:dyDescent="0.2"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  <c r="AC348" s="17"/>
      <c r="AD348" s="17"/>
      <c r="AE348" s="17"/>
      <c r="AF348" s="17"/>
      <c r="AG348" s="17"/>
      <c r="AH348" s="17"/>
      <c r="AI348" s="17"/>
      <c r="AJ348" s="17"/>
      <c r="AK348" s="17"/>
      <c r="AL348" s="19"/>
      <c r="AM348" s="19"/>
      <c r="AN348" s="19"/>
      <c r="AO348" s="19"/>
    </row>
    <row r="349" spans="10:41" x14ac:dyDescent="0.2"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  <c r="AC349" s="17"/>
      <c r="AD349" s="17"/>
      <c r="AE349" s="17"/>
      <c r="AF349" s="17"/>
      <c r="AG349" s="17"/>
      <c r="AH349" s="17"/>
      <c r="AI349" s="17"/>
      <c r="AJ349" s="17"/>
      <c r="AK349" s="17"/>
      <c r="AL349" s="19"/>
      <c r="AM349" s="19"/>
      <c r="AN349" s="19"/>
      <c r="AO349" s="19"/>
    </row>
    <row r="350" spans="10:41" x14ac:dyDescent="0.2"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  <c r="AC350" s="17"/>
      <c r="AD350" s="17"/>
      <c r="AE350" s="17"/>
      <c r="AF350" s="17"/>
      <c r="AG350" s="17"/>
      <c r="AH350" s="17"/>
      <c r="AI350" s="17"/>
      <c r="AJ350" s="17"/>
      <c r="AK350" s="17"/>
      <c r="AL350" s="19"/>
      <c r="AM350" s="19"/>
      <c r="AN350" s="19"/>
      <c r="AO350" s="19"/>
    </row>
    <row r="351" spans="10:41" x14ac:dyDescent="0.2"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  <c r="AC351" s="17"/>
      <c r="AD351" s="17"/>
      <c r="AE351" s="17"/>
      <c r="AF351" s="17"/>
      <c r="AG351" s="17"/>
      <c r="AH351" s="17"/>
      <c r="AI351" s="17"/>
      <c r="AJ351" s="17"/>
      <c r="AK351" s="17"/>
      <c r="AL351" s="19"/>
      <c r="AM351" s="19"/>
      <c r="AN351" s="19"/>
      <c r="AO351" s="19"/>
    </row>
    <row r="352" spans="10:41" x14ac:dyDescent="0.2"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  <c r="AC352" s="17"/>
      <c r="AD352" s="17"/>
      <c r="AE352" s="17"/>
      <c r="AF352" s="17"/>
      <c r="AG352" s="17"/>
      <c r="AH352" s="17"/>
      <c r="AI352" s="17"/>
      <c r="AJ352" s="17"/>
      <c r="AK352" s="17"/>
      <c r="AL352" s="19"/>
      <c r="AM352" s="19"/>
      <c r="AN352" s="19"/>
      <c r="AO352" s="19"/>
    </row>
    <row r="353" spans="10:41" x14ac:dyDescent="0.2"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  <c r="AC353" s="17"/>
      <c r="AD353" s="17"/>
      <c r="AE353" s="17"/>
      <c r="AF353" s="17"/>
      <c r="AG353" s="17"/>
      <c r="AH353" s="17"/>
      <c r="AI353" s="17"/>
      <c r="AJ353" s="17"/>
      <c r="AK353" s="17"/>
      <c r="AL353" s="19"/>
      <c r="AM353" s="19"/>
      <c r="AN353" s="19"/>
      <c r="AO353" s="19"/>
    </row>
    <row r="354" spans="10:41" x14ac:dyDescent="0.2"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  <c r="AC354" s="17"/>
      <c r="AD354" s="17"/>
      <c r="AE354" s="17"/>
      <c r="AF354" s="17"/>
      <c r="AG354" s="17"/>
      <c r="AH354" s="17"/>
      <c r="AI354" s="17"/>
      <c r="AJ354" s="17"/>
      <c r="AK354" s="17"/>
      <c r="AL354" s="19"/>
      <c r="AM354" s="19"/>
      <c r="AN354" s="19"/>
      <c r="AO354" s="19"/>
    </row>
    <row r="355" spans="10:41" x14ac:dyDescent="0.2"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  <c r="AC355" s="17"/>
      <c r="AD355" s="17"/>
      <c r="AE355" s="17"/>
      <c r="AF355" s="17"/>
      <c r="AG355" s="17"/>
      <c r="AH355" s="17"/>
      <c r="AI355" s="17"/>
      <c r="AJ355" s="17"/>
      <c r="AK355" s="17"/>
      <c r="AL355" s="19"/>
      <c r="AM355" s="19"/>
      <c r="AN355" s="19"/>
      <c r="AO355" s="19"/>
    </row>
    <row r="356" spans="10:41" x14ac:dyDescent="0.2"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  <c r="AC356" s="17"/>
      <c r="AD356" s="17"/>
      <c r="AE356" s="17"/>
      <c r="AF356" s="17"/>
      <c r="AG356" s="17"/>
      <c r="AH356" s="17"/>
      <c r="AI356" s="17"/>
      <c r="AJ356" s="17"/>
      <c r="AK356" s="17"/>
      <c r="AL356" s="19"/>
      <c r="AM356" s="19"/>
      <c r="AN356" s="19"/>
      <c r="AO356" s="19"/>
    </row>
    <row r="357" spans="10:41" x14ac:dyDescent="0.2"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  <c r="AC357" s="17"/>
      <c r="AD357" s="17"/>
      <c r="AE357" s="17"/>
      <c r="AF357" s="17"/>
      <c r="AG357" s="17"/>
      <c r="AH357" s="17"/>
      <c r="AI357" s="17"/>
      <c r="AJ357" s="17"/>
      <c r="AK357" s="17"/>
      <c r="AL357" s="19"/>
      <c r="AM357" s="19"/>
      <c r="AN357" s="19"/>
      <c r="AO357" s="19"/>
    </row>
    <row r="358" spans="10:41" x14ac:dyDescent="0.2"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  <c r="AC358" s="17"/>
      <c r="AD358" s="17"/>
      <c r="AE358" s="17"/>
      <c r="AF358" s="17"/>
      <c r="AG358" s="17"/>
      <c r="AH358" s="17"/>
      <c r="AI358" s="17"/>
      <c r="AJ358" s="17"/>
      <c r="AK358" s="17"/>
      <c r="AL358" s="19"/>
      <c r="AM358" s="19"/>
      <c r="AN358" s="19"/>
      <c r="AO358" s="19"/>
    </row>
    <row r="359" spans="10:41" x14ac:dyDescent="0.2"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  <c r="AC359" s="17"/>
      <c r="AD359" s="17"/>
      <c r="AE359" s="17"/>
      <c r="AF359" s="17"/>
      <c r="AG359" s="17"/>
      <c r="AH359" s="17"/>
      <c r="AI359" s="17"/>
      <c r="AJ359" s="17"/>
      <c r="AK359" s="17"/>
      <c r="AL359" s="19"/>
      <c r="AM359" s="19"/>
      <c r="AN359" s="19"/>
      <c r="AO359" s="19"/>
    </row>
    <row r="360" spans="10:41" x14ac:dyDescent="0.2"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  <c r="AA360" s="17"/>
      <c r="AB360" s="17"/>
      <c r="AC360" s="17"/>
      <c r="AD360" s="17"/>
      <c r="AE360" s="17"/>
      <c r="AF360" s="17"/>
      <c r="AG360" s="17"/>
      <c r="AH360" s="17"/>
      <c r="AI360" s="17"/>
      <c r="AJ360" s="17"/>
      <c r="AK360" s="17"/>
      <c r="AL360" s="19"/>
      <c r="AM360" s="19"/>
      <c r="AN360" s="19"/>
      <c r="AO360" s="19"/>
    </row>
    <row r="361" spans="10:41" x14ac:dyDescent="0.2">
      <c r="J361" s="17"/>
      <c r="K361" s="54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  <c r="AA361" s="17"/>
      <c r="AB361" s="17"/>
      <c r="AC361" s="17"/>
      <c r="AD361" s="17"/>
      <c r="AE361" s="17"/>
      <c r="AF361" s="17"/>
      <c r="AG361" s="17"/>
      <c r="AH361" s="17"/>
      <c r="AI361" s="17"/>
      <c r="AJ361" s="17"/>
      <c r="AK361" s="17"/>
      <c r="AL361" s="19"/>
      <c r="AM361" s="19"/>
      <c r="AN361" s="19"/>
      <c r="AO361" s="19"/>
    </row>
    <row r="362" spans="10:41" x14ac:dyDescent="0.2"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  <c r="AA362" s="17"/>
      <c r="AB362" s="17"/>
      <c r="AC362" s="17"/>
      <c r="AD362" s="17"/>
      <c r="AE362" s="17"/>
      <c r="AF362" s="17"/>
      <c r="AG362" s="17"/>
      <c r="AH362" s="17"/>
      <c r="AI362" s="17"/>
      <c r="AJ362" s="17"/>
      <c r="AK362" s="17"/>
      <c r="AL362" s="19"/>
      <c r="AM362" s="19"/>
      <c r="AN362" s="19"/>
      <c r="AO362" s="19"/>
    </row>
    <row r="363" spans="10:41" x14ac:dyDescent="0.2"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  <c r="AA363" s="17"/>
      <c r="AB363" s="17"/>
      <c r="AC363" s="17"/>
      <c r="AD363" s="17"/>
      <c r="AE363" s="17"/>
      <c r="AF363" s="17"/>
      <c r="AG363" s="17"/>
      <c r="AH363" s="17"/>
      <c r="AI363" s="17"/>
      <c r="AJ363" s="17"/>
      <c r="AK363" s="17"/>
      <c r="AL363" s="19"/>
      <c r="AM363" s="19"/>
      <c r="AN363" s="19"/>
      <c r="AO363" s="19"/>
    </row>
    <row r="364" spans="10:41" x14ac:dyDescent="0.2"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  <c r="AA364" s="17"/>
      <c r="AB364" s="17"/>
      <c r="AC364" s="17"/>
      <c r="AD364" s="17"/>
      <c r="AE364" s="17"/>
      <c r="AF364" s="17"/>
      <c r="AG364" s="17"/>
      <c r="AH364" s="17"/>
      <c r="AI364" s="17"/>
      <c r="AJ364" s="17"/>
      <c r="AK364" s="17"/>
      <c r="AL364" s="19"/>
      <c r="AM364" s="19"/>
      <c r="AN364" s="19"/>
      <c r="AO364" s="19"/>
    </row>
    <row r="365" spans="10:41" x14ac:dyDescent="0.2"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  <c r="AA365" s="17"/>
      <c r="AB365" s="17"/>
      <c r="AC365" s="17"/>
      <c r="AD365" s="17"/>
      <c r="AE365" s="17"/>
      <c r="AF365" s="17"/>
      <c r="AG365" s="17"/>
      <c r="AH365" s="17"/>
      <c r="AI365" s="17"/>
      <c r="AJ365" s="17"/>
      <c r="AK365" s="17"/>
      <c r="AL365" s="19"/>
      <c r="AM365" s="19"/>
      <c r="AN365" s="19"/>
      <c r="AO365" s="19"/>
    </row>
    <row r="366" spans="10:41" x14ac:dyDescent="0.2"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  <c r="AA366" s="17"/>
      <c r="AB366" s="17"/>
      <c r="AC366" s="17"/>
      <c r="AD366" s="17"/>
      <c r="AE366" s="17"/>
      <c r="AF366" s="17"/>
      <c r="AG366" s="17"/>
      <c r="AH366" s="17"/>
      <c r="AI366" s="17"/>
      <c r="AJ366" s="17"/>
      <c r="AK366" s="17"/>
      <c r="AL366" s="19"/>
      <c r="AM366" s="19"/>
      <c r="AN366" s="19"/>
      <c r="AO366" s="19"/>
    </row>
    <row r="367" spans="10:41" x14ac:dyDescent="0.2"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  <c r="AA367" s="17"/>
      <c r="AB367" s="17"/>
      <c r="AC367" s="17"/>
      <c r="AD367" s="17"/>
      <c r="AE367" s="17"/>
      <c r="AF367" s="17"/>
      <c r="AG367" s="17"/>
      <c r="AH367" s="17"/>
      <c r="AI367" s="17"/>
      <c r="AJ367" s="17"/>
      <c r="AK367" s="17"/>
      <c r="AL367" s="19"/>
      <c r="AM367" s="19"/>
      <c r="AN367" s="19"/>
      <c r="AO367" s="19"/>
    </row>
    <row r="368" spans="10:41" x14ac:dyDescent="0.2"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  <c r="AA368" s="17"/>
      <c r="AB368" s="17"/>
      <c r="AC368" s="17"/>
      <c r="AD368" s="17"/>
      <c r="AE368" s="17"/>
      <c r="AF368" s="17"/>
      <c r="AG368" s="17"/>
      <c r="AH368" s="17"/>
      <c r="AI368" s="17"/>
      <c r="AJ368" s="17"/>
      <c r="AK368" s="17"/>
      <c r="AL368" s="19"/>
      <c r="AM368" s="19"/>
      <c r="AN368" s="19"/>
      <c r="AO368" s="19"/>
    </row>
    <row r="369" spans="16:41" x14ac:dyDescent="0.2"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  <c r="AA369" s="17"/>
      <c r="AB369" s="17"/>
      <c r="AC369" s="17"/>
      <c r="AD369" s="17"/>
      <c r="AE369" s="17"/>
      <c r="AF369" s="17"/>
      <c r="AG369" s="17"/>
      <c r="AH369" s="17"/>
      <c r="AI369" s="17"/>
      <c r="AJ369" s="17"/>
      <c r="AK369" s="17"/>
      <c r="AL369" s="19"/>
      <c r="AM369" s="19"/>
      <c r="AN369" s="19"/>
      <c r="AO369" s="19"/>
    </row>
    <row r="370" spans="16:41" x14ac:dyDescent="0.2"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  <c r="AA370" s="17"/>
      <c r="AB370" s="17"/>
      <c r="AC370" s="17"/>
      <c r="AD370" s="17"/>
      <c r="AE370" s="17"/>
      <c r="AF370" s="17"/>
      <c r="AG370" s="17"/>
      <c r="AH370" s="17"/>
      <c r="AI370" s="17"/>
      <c r="AJ370" s="17"/>
      <c r="AK370" s="17"/>
      <c r="AL370" s="19"/>
      <c r="AM370" s="19"/>
      <c r="AN370" s="19"/>
      <c r="AO370" s="19"/>
    </row>
    <row r="371" spans="16:41" x14ac:dyDescent="0.2"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  <c r="AA371" s="17"/>
      <c r="AB371" s="17"/>
      <c r="AC371" s="17"/>
      <c r="AD371" s="17"/>
      <c r="AE371" s="17"/>
      <c r="AF371" s="17"/>
      <c r="AG371" s="17"/>
      <c r="AH371" s="17"/>
      <c r="AI371" s="17"/>
      <c r="AJ371" s="17"/>
      <c r="AK371" s="17"/>
      <c r="AL371" s="19"/>
      <c r="AM371" s="19"/>
      <c r="AN371" s="19"/>
      <c r="AO371" s="19"/>
    </row>
    <row r="372" spans="16:41" x14ac:dyDescent="0.2"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  <c r="AA372" s="17"/>
      <c r="AB372" s="17"/>
      <c r="AC372" s="17"/>
      <c r="AD372" s="17"/>
      <c r="AE372" s="17"/>
      <c r="AF372" s="17"/>
      <c r="AG372" s="17"/>
      <c r="AH372" s="17"/>
      <c r="AI372" s="17"/>
      <c r="AJ372" s="17"/>
      <c r="AK372" s="17"/>
      <c r="AL372" s="19"/>
      <c r="AM372" s="19"/>
      <c r="AN372" s="19"/>
      <c r="AO372" s="19"/>
    </row>
    <row r="373" spans="16:41" x14ac:dyDescent="0.2"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  <c r="AA373" s="17"/>
      <c r="AB373" s="17"/>
      <c r="AC373" s="17"/>
      <c r="AD373" s="17"/>
      <c r="AE373" s="17"/>
      <c r="AF373" s="17"/>
      <c r="AG373" s="17"/>
      <c r="AH373" s="17"/>
      <c r="AI373" s="17"/>
      <c r="AJ373" s="17"/>
      <c r="AK373" s="17"/>
      <c r="AL373" s="19"/>
      <c r="AM373" s="19"/>
      <c r="AN373" s="19"/>
      <c r="AO373" s="19"/>
    </row>
    <row r="374" spans="16:41" x14ac:dyDescent="0.2"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  <c r="AA374" s="17"/>
      <c r="AB374" s="17"/>
      <c r="AC374" s="17"/>
      <c r="AD374" s="17"/>
      <c r="AE374" s="17"/>
      <c r="AF374" s="17"/>
      <c r="AG374" s="17"/>
      <c r="AH374" s="17"/>
      <c r="AI374" s="17"/>
      <c r="AJ374" s="17"/>
      <c r="AK374" s="17"/>
      <c r="AL374" s="19"/>
      <c r="AM374" s="19"/>
      <c r="AN374" s="19"/>
      <c r="AO374" s="19"/>
    </row>
    <row r="375" spans="16:41" x14ac:dyDescent="0.2"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  <c r="AA375" s="17"/>
      <c r="AB375" s="17"/>
      <c r="AC375" s="17"/>
      <c r="AD375" s="17"/>
      <c r="AE375" s="17"/>
      <c r="AF375" s="17"/>
      <c r="AG375" s="17"/>
      <c r="AH375" s="17"/>
      <c r="AI375" s="17"/>
      <c r="AJ375" s="17"/>
      <c r="AK375" s="17"/>
      <c r="AL375" s="19"/>
      <c r="AM375" s="19"/>
      <c r="AN375" s="19"/>
      <c r="AO375" s="19"/>
    </row>
    <row r="376" spans="16:41" x14ac:dyDescent="0.2"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  <c r="AA376" s="17"/>
      <c r="AB376" s="17"/>
      <c r="AC376" s="17"/>
      <c r="AD376" s="17"/>
      <c r="AE376" s="17"/>
      <c r="AF376" s="17"/>
      <c r="AG376" s="17"/>
      <c r="AH376" s="17"/>
      <c r="AI376" s="17"/>
      <c r="AJ376" s="17"/>
      <c r="AK376" s="17"/>
      <c r="AL376" s="19"/>
      <c r="AM376" s="19"/>
      <c r="AN376" s="19"/>
      <c r="AO376" s="19"/>
    </row>
    <row r="377" spans="16:41" x14ac:dyDescent="0.2"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  <c r="AA377" s="17"/>
      <c r="AB377" s="17"/>
      <c r="AC377" s="17"/>
      <c r="AD377" s="17"/>
      <c r="AE377" s="17"/>
      <c r="AF377" s="17"/>
      <c r="AG377" s="17"/>
      <c r="AH377" s="17"/>
      <c r="AI377" s="17"/>
      <c r="AJ377" s="17"/>
      <c r="AK377" s="17"/>
      <c r="AL377" s="19"/>
      <c r="AM377" s="19"/>
      <c r="AN377" s="19"/>
      <c r="AO377" s="19"/>
    </row>
    <row r="378" spans="16:41" x14ac:dyDescent="0.2"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  <c r="AA378" s="17"/>
      <c r="AB378" s="17"/>
      <c r="AC378" s="17"/>
      <c r="AD378" s="17"/>
      <c r="AE378" s="17"/>
      <c r="AF378" s="17"/>
      <c r="AG378" s="17"/>
      <c r="AH378" s="17"/>
      <c r="AI378" s="17"/>
      <c r="AJ378" s="17"/>
      <c r="AK378" s="17"/>
      <c r="AL378" s="19"/>
      <c r="AM378" s="19"/>
      <c r="AN378" s="19"/>
      <c r="AO378" s="19"/>
    </row>
    <row r="379" spans="16:41" x14ac:dyDescent="0.2"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  <c r="AA379" s="17"/>
      <c r="AB379" s="17"/>
      <c r="AC379" s="17"/>
      <c r="AD379" s="17"/>
      <c r="AE379" s="17"/>
      <c r="AF379" s="17"/>
      <c r="AG379" s="17"/>
      <c r="AH379" s="17"/>
      <c r="AI379" s="17"/>
      <c r="AJ379" s="17"/>
      <c r="AK379" s="17"/>
      <c r="AL379" s="19"/>
      <c r="AM379" s="19"/>
      <c r="AN379" s="19"/>
      <c r="AO379" s="19"/>
    </row>
    <row r="380" spans="16:41" x14ac:dyDescent="0.2"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  <c r="AA380" s="17"/>
      <c r="AB380" s="17"/>
      <c r="AC380" s="17"/>
      <c r="AD380" s="17"/>
      <c r="AE380" s="17"/>
      <c r="AF380" s="17"/>
      <c r="AG380" s="17"/>
      <c r="AH380" s="17"/>
      <c r="AI380" s="17"/>
      <c r="AJ380" s="17"/>
      <c r="AK380" s="17"/>
      <c r="AL380" s="19"/>
      <c r="AM380" s="19"/>
      <c r="AN380" s="19"/>
      <c r="AO380" s="19"/>
    </row>
    <row r="381" spans="16:41" x14ac:dyDescent="0.2"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  <c r="AA381" s="17"/>
      <c r="AB381" s="17"/>
      <c r="AC381" s="17"/>
      <c r="AD381" s="17"/>
      <c r="AE381" s="17"/>
      <c r="AF381" s="17"/>
      <c r="AG381" s="17"/>
      <c r="AH381" s="17"/>
      <c r="AI381" s="17"/>
      <c r="AJ381" s="17"/>
      <c r="AK381" s="17"/>
      <c r="AL381" s="19"/>
      <c r="AM381" s="19"/>
      <c r="AN381" s="19"/>
      <c r="AO381" s="19"/>
    </row>
    <row r="382" spans="16:41" x14ac:dyDescent="0.2"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  <c r="AA382" s="17"/>
      <c r="AB382" s="17"/>
      <c r="AC382" s="17"/>
      <c r="AD382" s="17"/>
      <c r="AE382" s="17"/>
      <c r="AF382" s="17"/>
      <c r="AG382" s="17"/>
      <c r="AH382" s="17"/>
      <c r="AI382" s="17"/>
      <c r="AJ382" s="17"/>
      <c r="AK382" s="17"/>
      <c r="AL382" s="19"/>
      <c r="AM382" s="19"/>
      <c r="AN382" s="19"/>
      <c r="AO382" s="19"/>
    </row>
    <row r="383" spans="16:41" x14ac:dyDescent="0.2"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  <c r="AA383" s="17"/>
      <c r="AB383" s="17"/>
      <c r="AC383" s="17"/>
      <c r="AD383" s="17"/>
      <c r="AE383" s="17"/>
      <c r="AF383" s="17"/>
      <c r="AG383" s="17"/>
      <c r="AH383" s="17"/>
      <c r="AI383" s="17"/>
      <c r="AJ383" s="17"/>
      <c r="AK383" s="17"/>
      <c r="AL383" s="19"/>
      <c r="AM383" s="19"/>
      <c r="AN383" s="19"/>
      <c r="AO383" s="19"/>
    </row>
    <row r="384" spans="16:41" x14ac:dyDescent="0.2"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  <c r="AA384" s="17"/>
      <c r="AB384" s="17"/>
      <c r="AC384" s="17"/>
      <c r="AD384" s="17"/>
      <c r="AE384" s="17"/>
      <c r="AF384" s="17"/>
      <c r="AG384" s="17"/>
      <c r="AH384" s="17"/>
      <c r="AI384" s="17"/>
      <c r="AJ384" s="17"/>
      <c r="AK384" s="17"/>
      <c r="AL384" s="19"/>
      <c r="AM384" s="19"/>
      <c r="AN384" s="19"/>
      <c r="AO384" s="19"/>
    </row>
    <row r="385" spans="16:41" x14ac:dyDescent="0.2"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  <c r="AA385" s="17"/>
      <c r="AB385" s="17"/>
      <c r="AC385" s="17"/>
      <c r="AD385" s="17"/>
      <c r="AE385" s="17"/>
      <c r="AF385" s="17"/>
      <c r="AG385" s="17"/>
      <c r="AH385" s="17"/>
      <c r="AI385" s="17"/>
      <c r="AJ385" s="17"/>
      <c r="AK385" s="17"/>
      <c r="AL385" s="19"/>
      <c r="AM385" s="19"/>
      <c r="AN385" s="19"/>
      <c r="AO385" s="19"/>
    </row>
    <row r="386" spans="16:41" x14ac:dyDescent="0.2"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  <c r="AA386" s="17"/>
      <c r="AB386" s="17"/>
      <c r="AC386" s="17"/>
      <c r="AD386" s="17"/>
      <c r="AE386" s="17"/>
      <c r="AF386" s="17"/>
      <c r="AG386" s="17"/>
      <c r="AH386" s="17"/>
      <c r="AI386" s="17"/>
      <c r="AJ386" s="17"/>
      <c r="AK386" s="17"/>
      <c r="AL386" s="19"/>
      <c r="AM386" s="19"/>
      <c r="AN386" s="19"/>
      <c r="AO386" s="19"/>
    </row>
    <row r="387" spans="16:41" x14ac:dyDescent="0.2"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  <c r="AA387" s="17"/>
      <c r="AB387" s="17"/>
      <c r="AC387" s="17"/>
      <c r="AD387" s="17"/>
      <c r="AE387" s="17"/>
      <c r="AF387" s="17"/>
      <c r="AG387" s="17"/>
      <c r="AH387" s="17"/>
      <c r="AI387" s="17"/>
      <c r="AJ387" s="17"/>
      <c r="AK387" s="17"/>
      <c r="AL387" s="19"/>
      <c r="AM387" s="19"/>
      <c r="AN387" s="19"/>
      <c r="AO387" s="19"/>
    </row>
    <row r="388" spans="16:41" x14ac:dyDescent="0.2"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  <c r="AA388" s="17"/>
      <c r="AB388" s="17"/>
      <c r="AC388" s="17"/>
      <c r="AD388" s="17"/>
      <c r="AE388" s="17"/>
      <c r="AF388" s="17"/>
      <c r="AG388" s="17"/>
      <c r="AH388" s="17"/>
      <c r="AI388" s="17"/>
      <c r="AJ388" s="17"/>
      <c r="AK388" s="17"/>
      <c r="AL388" s="19"/>
      <c r="AM388" s="19"/>
      <c r="AN388" s="19"/>
      <c r="AO388" s="19"/>
    </row>
    <row r="389" spans="16:41" x14ac:dyDescent="0.2"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  <c r="AA389" s="17"/>
      <c r="AB389" s="17"/>
      <c r="AC389" s="17"/>
      <c r="AD389" s="17"/>
      <c r="AE389" s="17"/>
      <c r="AF389" s="17"/>
      <c r="AG389" s="17"/>
      <c r="AH389" s="17"/>
      <c r="AI389" s="17"/>
      <c r="AJ389" s="17"/>
      <c r="AK389" s="17"/>
      <c r="AL389" s="19"/>
      <c r="AM389" s="19"/>
      <c r="AN389" s="19"/>
      <c r="AO389" s="19"/>
    </row>
    <row r="390" spans="16:41" x14ac:dyDescent="0.2"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  <c r="AA390" s="17"/>
      <c r="AB390" s="17"/>
      <c r="AC390" s="17"/>
      <c r="AD390" s="17"/>
      <c r="AE390" s="17"/>
      <c r="AF390" s="17"/>
      <c r="AG390" s="17"/>
      <c r="AH390" s="17"/>
      <c r="AI390" s="17"/>
      <c r="AJ390" s="17"/>
      <c r="AK390" s="17"/>
      <c r="AL390" s="19"/>
      <c r="AM390" s="19"/>
      <c r="AN390" s="19"/>
      <c r="AO390" s="19"/>
    </row>
    <row r="391" spans="16:41" x14ac:dyDescent="0.2"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  <c r="AA391" s="17"/>
      <c r="AB391" s="17"/>
      <c r="AC391" s="17"/>
      <c r="AD391" s="17"/>
      <c r="AE391" s="17"/>
      <c r="AF391" s="17"/>
      <c r="AG391" s="17"/>
      <c r="AH391" s="17"/>
      <c r="AI391" s="17"/>
      <c r="AJ391" s="17"/>
      <c r="AK391" s="17"/>
      <c r="AL391" s="19"/>
      <c r="AM391" s="19"/>
      <c r="AN391" s="19"/>
      <c r="AO391" s="19"/>
    </row>
    <row r="392" spans="16:41" x14ac:dyDescent="0.2"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  <c r="AA392" s="17"/>
      <c r="AB392" s="17"/>
      <c r="AC392" s="17"/>
      <c r="AD392" s="17"/>
      <c r="AE392" s="17"/>
      <c r="AF392" s="17"/>
      <c r="AG392" s="17"/>
      <c r="AH392" s="17"/>
      <c r="AI392" s="17"/>
      <c r="AJ392" s="17"/>
      <c r="AK392" s="17"/>
      <c r="AL392" s="19"/>
      <c r="AM392" s="19"/>
      <c r="AN392" s="19"/>
      <c r="AO392" s="19"/>
    </row>
    <row r="393" spans="16:41" x14ac:dyDescent="0.2"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  <c r="AA393" s="17"/>
      <c r="AB393" s="17"/>
      <c r="AC393" s="17"/>
      <c r="AD393" s="17"/>
      <c r="AE393" s="17"/>
      <c r="AF393" s="17"/>
      <c r="AG393" s="17"/>
      <c r="AH393" s="17"/>
      <c r="AI393" s="17"/>
      <c r="AJ393" s="17"/>
      <c r="AK393" s="17"/>
      <c r="AL393" s="19"/>
      <c r="AM393" s="19"/>
      <c r="AN393" s="19"/>
      <c r="AO393" s="19"/>
    </row>
    <row r="394" spans="16:41" x14ac:dyDescent="0.2"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  <c r="AA394" s="17"/>
      <c r="AB394" s="17"/>
      <c r="AC394" s="17"/>
      <c r="AD394" s="17"/>
      <c r="AE394" s="17"/>
      <c r="AF394" s="17"/>
      <c r="AG394" s="17"/>
      <c r="AH394" s="17"/>
      <c r="AI394" s="17"/>
      <c r="AJ394" s="17"/>
      <c r="AK394" s="17"/>
      <c r="AL394" s="19"/>
      <c r="AM394" s="19"/>
      <c r="AN394" s="19"/>
      <c r="AO394" s="19"/>
    </row>
    <row r="395" spans="16:41" x14ac:dyDescent="0.2"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  <c r="AA395" s="17"/>
      <c r="AB395" s="17"/>
      <c r="AC395" s="17"/>
      <c r="AD395" s="17"/>
      <c r="AE395" s="17"/>
      <c r="AF395" s="17"/>
      <c r="AG395" s="17"/>
      <c r="AH395" s="17"/>
      <c r="AI395" s="17"/>
      <c r="AJ395" s="17"/>
      <c r="AK395" s="17"/>
      <c r="AL395" s="19"/>
      <c r="AM395" s="19"/>
      <c r="AN395" s="19"/>
      <c r="AO395" s="19"/>
    </row>
    <row r="396" spans="16:41" x14ac:dyDescent="0.2"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  <c r="AA396" s="17"/>
      <c r="AB396" s="17"/>
      <c r="AC396" s="17"/>
      <c r="AD396" s="17"/>
      <c r="AE396" s="17"/>
      <c r="AF396" s="17"/>
      <c r="AG396" s="17"/>
      <c r="AH396" s="17"/>
      <c r="AI396" s="17"/>
      <c r="AJ396" s="17"/>
      <c r="AK396" s="17"/>
      <c r="AL396" s="19"/>
      <c r="AM396" s="19"/>
      <c r="AN396" s="19"/>
      <c r="AO396" s="19"/>
    </row>
    <row r="397" spans="16:41" x14ac:dyDescent="0.2"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  <c r="AA397" s="17"/>
      <c r="AB397" s="17"/>
      <c r="AC397" s="17"/>
      <c r="AD397" s="17"/>
      <c r="AE397" s="17"/>
      <c r="AF397" s="17"/>
      <c r="AG397" s="17"/>
      <c r="AH397" s="17"/>
      <c r="AI397" s="17"/>
      <c r="AJ397" s="17"/>
      <c r="AK397" s="17"/>
      <c r="AL397" s="19"/>
      <c r="AM397" s="19"/>
      <c r="AN397" s="19"/>
      <c r="AO397" s="19"/>
    </row>
    <row r="398" spans="16:41" x14ac:dyDescent="0.2"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  <c r="AA398" s="17"/>
      <c r="AB398" s="17"/>
      <c r="AC398" s="17"/>
      <c r="AD398" s="17"/>
      <c r="AE398" s="17"/>
      <c r="AF398" s="17"/>
      <c r="AG398" s="17"/>
      <c r="AH398" s="17"/>
      <c r="AI398" s="17"/>
      <c r="AJ398" s="17"/>
      <c r="AK398" s="17"/>
      <c r="AL398" s="19"/>
      <c r="AM398" s="19"/>
      <c r="AN398" s="19"/>
      <c r="AO398" s="19"/>
    </row>
    <row r="399" spans="16:41" x14ac:dyDescent="0.2"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  <c r="AA399" s="17"/>
      <c r="AB399" s="17"/>
      <c r="AC399" s="17"/>
      <c r="AD399" s="17"/>
      <c r="AE399" s="17"/>
      <c r="AF399" s="17"/>
      <c r="AG399" s="17"/>
      <c r="AH399" s="17"/>
      <c r="AI399" s="17"/>
      <c r="AJ399" s="17"/>
      <c r="AK399" s="17"/>
      <c r="AL399" s="19"/>
      <c r="AM399" s="19"/>
      <c r="AN399" s="19"/>
      <c r="AO399" s="19"/>
    </row>
    <row r="400" spans="16:41" x14ac:dyDescent="0.2"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  <c r="AA400" s="17"/>
      <c r="AB400" s="17"/>
      <c r="AC400" s="17"/>
      <c r="AD400" s="17"/>
      <c r="AE400" s="17"/>
      <c r="AF400" s="17"/>
      <c r="AG400" s="17"/>
      <c r="AH400" s="17"/>
      <c r="AI400" s="17"/>
      <c r="AJ400" s="17"/>
      <c r="AK400" s="17"/>
      <c r="AL400" s="19"/>
      <c r="AM400" s="19"/>
      <c r="AN400" s="19"/>
      <c r="AO400" s="19"/>
    </row>
    <row r="401" spans="16:41" x14ac:dyDescent="0.2"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  <c r="AA401" s="17"/>
      <c r="AB401" s="17"/>
      <c r="AC401" s="17"/>
      <c r="AD401" s="17"/>
      <c r="AE401" s="17"/>
      <c r="AF401" s="17"/>
      <c r="AG401" s="17"/>
      <c r="AH401" s="17"/>
      <c r="AI401" s="17"/>
      <c r="AJ401" s="17"/>
      <c r="AK401" s="17"/>
      <c r="AL401" s="19"/>
      <c r="AM401" s="19"/>
      <c r="AN401" s="19"/>
      <c r="AO401" s="19"/>
    </row>
    <row r="402" spans="16:41" x14ac:dyDescent="0.2"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  <c r="AA402" s="17"/>
      <c r="AB402" s="17"/>
      <c r="AC402" s="17"/>
      <c r="AD402" s="17"/>
      <c r="AE402" s="17"/>
      <c r="AF402" s="17"/>
      <c r="AG402" s="17"/>
      <c r="AH402" s="17"/>
      <c r="AI402" s="17"/>
      <c r="AJ402" s="17"/>
      <c r="AK402" s="17"/>
      <c r="AL402" s="19"/>
      <c r="AM402" s="19"/>
      <c r="AN402" s="19"/>
      <c r="AO402" s="19"/>
    </row>
    <row r="403" spans="16:41" x14ac:dyDescent="0.2"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  <c r="AA403" s="17"/>
      <c r="AB403" s="17"/>
      <c r="AC403" s="17"/>
      <c r="AD403" s="17"/>
      <c r="AE403" s="17"/>
      <c r="AF403" s="17"/>
      <c r="AG403" s="17"/>
      <c r="AH403" s="17"/>
      <c r="AI403" s="17"/>
      <c r="AJ403" s="17"/>
      <c r="AK403" s="17"/>
      <c r="AL403" s="19"/>
      <c r="AM403" s="19"/>
      <c r="AN403" s="19"/>
      <c r="AO403" s="19"/>
    </row>
    <row r="404" spans="16:41" x14ac:dyDescent="0.2"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  <c r="AA404" s="17"/>
      <c r="AB404" s="17"/>
      <c r="AC404" s="17"/>
      <c r="AD404" s="17"/>
      <c r="AE404" s="17"/>
      <c r="AF404" s="17"/>
      <c r="AG404" s="17"/>
      <c r="AH404" s="17"/>
      <c r="AI404" s="17"/>
      <c r="AJ404" s="17"/>
      <c r="AK404" s="17"/>
      <c r="AL404" s="19"/>
      <c r="AM404" s="19"/>
      <c r="AN404" s="19"/>
      <c r="AO404" s="19"/>
    </row>
    <row r="405" spans="16:41" x14ac:dyDescent="0.2"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  <c r="AA405" s="17"/>
      <c r="AB405" s="17"/>
      <c r="AC405" s="17"/>
      <c r="AD405" s="17"/>
      <c r="AE405" s="17"/>
      <c r="AF405" s="17"/>
      <c r="AG405" s="17"/>
      <c r="AH405" s="17"/>
      <c r="AI405" s="17"/>
      <c r="AJ405" s="17"/>
      <c r="AK405" s="17"/>
      <c r="AL405" s="19"/>
      <c r="AM405" s="19"/>
      <c r="AN405" s="19"/>
      <c r="AO405" s="19"/>
    </row>
    <row r="406" spans="16:41" x14ac:dyDescent="0.2"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  <c r="AA406" s="17"/>
      <c r="AB406" s="17"/>
      <c r="AC406" s="17"/>
      <c r="AD406" s="17"/>
      <c r="AE406" s="17"/>
      <c r="AF406" s="17"/>
      <c r="AG406" s="17"/>
      <c r="AH406" s="17"/>
      <c r="AI406" s="17"/>
      <c r="AJ406" s="17"/>
      <c r="AK406" s="17"/>
      <c r="AL406" s="19"/>
      <c r="AM406" s="19"/>
      <c r="AN406" s="19"/>
      <c r="AO406" s="19"/>
    </row>
    <row r="407" spans="16:41" x14ac:dyDescent="0.2"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  <c r="AA407" s="17"/>
      <c r="AB407" s="17"/>
      <c r="AC407" s="17"/>
      <c r="AD407" s="17"/>
      <c r="AE407" s="17"/>
      <c r="AF407" s="17"/>
      <c r="AG407" s="17"/>
      <c r="AH407" s="17"/>
      <c r="AI407" s="17"/>
      <c r="AJ407" s="17"/>
      <c r="AK407" s="17"/>
      <c r="AL407" s="19"/>
      <c r="AM407" s="19"/>
      <c r="AN407" s="19"/>
      <c r="AO407" s="19"/>
    </row>
    <row r="408" spans="16:41" x14ac:dyDescent="0.2"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  <c r="AA408" s="17"/>
      <c r="AB408" s="17"/>
      <c r="AC408" s="17"/>
      <c r="AD408" s="17"/>
      <c r="AE408" s="17"/>
      <c r="AF408" s="17"/>
      <c r="AG408" s="17"/>
      <c r="AH408" s="17"/>
      <c r="AI408" s="17"/>
      <c r="AJ408" s="17"/>
      <c r="AK408" s="17"/>
      <c r="AL408" s="19"/>
      <c r="AM408" s="19"/>
      <c r="AN408" s="19"/>
      <c r="AO408" s="19"/>
    </row>
    <row r="409" spans="16:41" x14ac:dyDescent="0.2"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  <c r="AA409" s="17"/>
      <c r="AB409" s="17"/>
      <c r="AC409" s="17"/>
      <c r="AD409" s="17"/>
      <c r="AE409" s="17"/>
      <c r="AF409" s="17"/>
      <c r="AG409" s="17"/>
      <c r="AH409" s="17"/>
      <c r="AI409" s="17"/>
      <c r="AJ409" s="17"/>
      <c r="AK409" s="17"/>
      <c r="AL409" s="19"/>
      <c r="AM409" s="19"/>
      <c r="AN409" s="19"/>
      <c r="AO409" s="19"/>
    </row>
    <row r="410" spans="16:41" x14ac:dyDescent="0.2"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  <c r="AA410" s="17"/>
      <c r="AB410" s="17"/>
      <c r="AC410" s="17"/>
      <c r="AD410" s="17"/>
      <c r="AE410" s="17"/>
      <c r="AF410" s="17"/>
      <c r="AG410" s="17"/>
      <c r="AH410" s="17"/>
      <c r="AI410" s="17"/>
      <c r="AJ410" s="17"/>
      <c r="AK410" s="17"/>
      <c r="AL410" s="19"/>
      <c r="AM410" s="19"/>
      <c r="AN410" s="19"/>
      <c r="AO410" s="19"/>
    </row>
    <row r="411" spans="16:41" x14ac:dyDescent="0.2"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  <c r="AA411" s="17"/>
      <c r="AB411" s="17"/>
      <c r="AC411" s="17"/>
      <c r="AD411" s="17"/>
      <c r="AE411" s="17"/>
      <c r="AF411" s="17"/>
      <c r="AG411" s="17"/>
      <c r="AH411" s="17"/>
      <c r="AI411" s="17"/>
      <c r="AJ411" s="17"/>
      <c r="AK411" s="17"/>
      <c r="AL411" s="19"/>
      <c r="AM411" s="19"/>
      <c r="AN411" s="19"/>
      <c r="AO411" s="19"/>
    </row>
    <row r="412" spans="16:41" x14ac:dyDescent="0.2"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  <c r="AA412" s="17"/>
      <c r="AB412" s="17"/>
      <c r="AC412" s="17"/>
      <c r="AD412" s="17"/>
      <c r="AE412" s="17"/>
      <c r="AF412" s="17"/>
      <c r="AG412" s="17"/>
      <c r="AH412" s="17"/>
      <c r="AI412" s="17"/>
      <c r="AJ412" s="17"/>
      <c r="AK412" s="17"/>
      <c r="AL412" s="19"/>
      <c r="AM412" s="19"/>
      <c r="AN412" s="19"/>
      <c r="AO412" s="19"/>
    </row>
    <row r="413" spans="16:41" x14ac:dyDescent="0.2"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  <c r="AA413" s="17"/>
      <c r="AB413" s="17"/>
      <c r="AC413" s="17"/>
      <c r="AD413" s="17"/>
      <c r="AE413" s="17"/>
      <c r="AF413" s="17"/>
      <c r="AG413" s="17"/>
      <c r="AH413" s="17"/>
      <c r="AI413" s="17"/>
      <c r="AJ413" s="17"/>
      <c r="AK413" s="17"/>
      <c r="AL413" s="19"/>
      <c r="AM413" s="19"/>
      <c r="AN413" s="19"/>
      <c r="AO413" s="19"/>
    </row>
    <row r="414" spans="16:41" x14ac:dyDescent="0.2"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  <c r="AA414" s="17"/>
      <c r="AB414" s="17"/>
      <c r="AC414" s="17"/>
      <c r="AD414" s="17"/>
      <c r="AE414" s="17"/>
      <c r="AF414" s="17"/>
      <c r="AG414" s="17"/>
      <c r="AH414" s="17"/>
      <c r="AI414" s="17"/>
      <c r="AJ414" s="17"/>
      <c r="AK414" s="17"/>
      <c r="AL414" s="19"/>
      <c r="AM414" s="19"/>
      <c r="AN414" s="19"/>
      <c r="AO414" s="19"/>
    </row>
    <row r="415" spans="16:41" x14ac:dyDescent="0.2"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  <c r="AA415" s="17"/>
      <c r="AB415" s="17"/>
      <c r="AC415" s="17"/>
      <c r="AD415" s="17"/>
      <c r="AE415" s="17"/>
      <c r="AF415" s="17"/>
      <c r="AG415" s="17"/>
      <c r="AH415" s="17"/>
      <c r="AI415" s="17"/>
      <c r="AJ415" s="17"/>
      <c r="AK415" s="17"/>
      <c r="AL415" s="19"/>
      <c r="AM415" s="19"/>
      <c r="AN415" s="19"/>
      <c r="AO415" s="19"/>
    </row>
    <row r="416" spans="16:41" x14ac:dyDescent="0.2"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  <c r="AA416" s="17"/>
      <c r="AB416" s="17"/>
      <c r="AC416" s="17"/>
      <c r="AD416" s="17"/>
      <c r="AE416" s="17"/>
      <c r="AF416" s="17"/>
      <c r="AG416" s="17"/>
      <c r="AH416" s="17"/>
      <c r="AI416" s="17"/>
      <c r="AJ416" s="17"/>
      <c r="AK416" s="17"/>
      <c r="AL416" s="19"/>
      <c r="AM416" s="19"/>
      <c r="AN416" s="19"/>
      <c r="AO416" s="19"/>
    </row>
    <row r="417" spans="16:41" x14ac:dyDescent="0.2"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  <c r="AA417" s="17"/>
      <c r="AB417" s="17"/>
      <c r="AC417" s="17"/>
      <c r="AD417" s="17"/>
      <c r="AE417" s="17"/>
      <c r="AF417" s="17"/>
      <c r="AG417" s="17"/>
      <c r="AH417" s="17"/>
      <c r="AI417" s="17"/>
      <c r="AJ417" s="17"/>
      <c r="AK417" s="17"/>
      <c r="AL417" s="19"/>
      <c r="AM417" s="19"/>
      <c r="AN417" s="19"/>
      <c r="AO417" s="19"/>
    </row>
    <row r="418" spans="16:41" x14ac:dyDescent="0.2"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  <c r="AA418" s="17"/>
      <c r="AB418" s="17"/>
      <c r="AC418" s="17"/>
      <c r="AD418" s="17"/>
      <c r="AE418" s="17"/>
      <c r="AF418" s="17"/>
      <c r="AG418" s="17"/>
      <c r="AH418" s="17"/>
      <c r="AI418" s="17"/>
      <c r="AJ418" s="17"/>
      <c r="AK418" s="17"/>
      <c r="AL418" s="19"/>
      <c r="AM418" s="19"/>
      <c r="AN418" s="19"/>
      <c r="AO418" s="19"/>
    </row>
    <row r="419" spans="16:41" x14ac:dyDescent="0.2"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  <c r="AA419" s="17"/>
      <c r="AB419" s="17"/>
      <c r="AC419" s="17"/>
      <c r="AD419" s="17"/>
      <c r="AE419" s="17"/>
      <c r="AF419" s="17"/>
      <c r="AG419" s="17"/>
      <c r="AH419" s="17"/>
      <c r="AI419" s="17"/>
      <c r="AJ419" s="17"/>
      <c r="AK419" s="17"/>
      <c r="AL419" s="19"/>
      <c r="AM419" s="19"/>
      <c r="AN419" s="19"/>
      <c r="AO419" s="19"/>
    </row>
    <row r="420" spans="16:41" x14ac:dyDescent="0.2"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  <c r="AA420" s="17"/>
      <c r="AB420" s="17"/>
      <c r="AC420" s="17"/>
      <c r="AD420" s="17"/>
      <c r="AE420" s="17"/>
      <c r="AF420" s="17"/>
      <c r="AG420" s="17"/>
      <c r="AH420" s="17"/>
      <c r="AI420" s="17"/>
      <c r="AJ420" s="17"/>
      <c r="AK420" s="17"/>
      <c r="AL420" s="19"/>
      <c r="AM420" s="19"/>
      <c r="AN420" s="19"/>
      <c r="AO420" s="19"/>
    </row>
    <row r="421" spans="16:41" x14ac:dyDescent="0.2"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  <c r="AA421" s="17"/>
      <c r="AB421" s="17"/>
      <c r="AC421" s="17"/>
      <c r="AD421" s="17"/>
      <c r="AE421" s="17"/>
      <c r="AF421" s="17"/>
      <c r="AG421" s="17"/>
      <c r="AH421" s="17"/>
      <c r="AI421" s="17"/>
      <c r="AJ421" s="17"/>
      <c r="AK421" s="17"/>
      <c r="AL421" s="19"/>
      <c r="AM421" s="19"/>
      <c r="AN421" s="19"/>
      <c r="AO421" s="19"/>
    </row>
    <row r="422" spans="16:41" x14ac:dyDescent="0.2"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  <c r="AA422" s="17"/>
      <c r="AB422" s="17"/>
      <c r="AC422" s="17"/>
      <c r="AD422" s="17"/>
      <c r="AE422" s="17"/>
      <c r="AF422" s="17"/>
      <c r="AG422" s="17"/>
      <c r="AH422" s="17"/>
      <c r="AI422" s="17"/>
      <c r="AJ422" s="17"/>
      <c r="AK422" s="17"/>
      <c r="AL422" s="19"/>
      <c r="AM422" s="19"/>
      <c r="AN422" s="19"/>
      <c r="AO422" s="19"/>
    </row>
    <row r="423" spans="16:41" x14ac:dyDescent="0.2">
      <c r="P423" s="17"/>
      <c r="X423" s="17"/>
      <c r="Y423" s="17"/>
      <c r="Z423" s="17"/>
      <c r="AA423" s="17"/>
      <c r="AB423" s="17"/>
      <c r="AC423" s="17"/>
      <c r="AD423" s="17"/>
      <c r="AE423" s="17"/>
      <c r="AF423" s="17"/>
      <c r="AG423" s="17"/>
      <c r="AH423" s="17"/>
      <c r="AI423" s="17"/>
      <c r="AJ423" s="17"/>
      <c r="AK423" s="17"/>
      <c r="AL423" s="19"/>
      <c r="AM423" s="19"/>
      <c r="AN423" s="19"/>
      <c r="AO423" s="19"/>
    </row>
    <row r="424" spans="16:41" x14ac:dyDescent="0.2">
      <c r="P424" s="17"/>
      <c r="X424" s="17"/>
      <c r="Y424" s="17"/>
      <c r="Z424" s="17"/>
      <c r="AA424" s="17"/>
      <c r="AB424" s="17"/>
      <c r="AC424" s="17"/>
      <c r="AD424" s="17"/>
      <c r="AE424" s="17"/>
      <c r="AF424" s="17"/>
      <c r="AG424" s="17"/>
      <c r="AH424" s="17"/>
      <c r="AI424" s="17"/>
      <c r="AJ424" s="17"/>
      <c r="AK424" s="17"/>
      <c r="AL424" s="19"/>
      <c r="AM424" s="19"/>
      <c r="AN424" s="19"/>
      <c r="AO424" s="19"/>
    </row>
    <row r="425" spans="16:41" x14ac:dyDescent="0.2">
      <c r="P425" s="17"/>
      <c r="X425" s="17"/>
      <c r="Y425" s="17"/>
      <c r="Z425" s="17"/>
      <c r="AA425" s="17"/>
      <c r="AB425" s="17"/>
      <c r="AC425" s="17"/>
      <c r="AD425" s="17"/>
      <c r="AE425" s="17"/>
      <c r="AF425" s="17"/>
      <c r="AG425" s="17"/>
      <c r="AH425" s="17"/>
      <c r="AI425" s="17"/>
      <c r="AJ425" s="17"/>
      <c r="AK425" s="17"/>
      <c r="AL425" s="19"/>
      <c r="AM425" s="19"/>
      <c r="AN425" s="19"/>
      <c r="AO425" s="19"/>
    </row>
    <row r="426" spans="16:41" x14ac:dyDescent="0.2">
      <c r="P426" s="17"/>
      <c r="X426" s="17"/>
      <c r="Y426" s="17"/>
      <c r="Z426" s="17"/>
      <c r="AA426" s="17"/>
      <c r="AB426" s="17"/>
      <c r="AC426" s="17"/>
      <c r="AD426" s="17"/>
      <c r="AE426" s="17"/>
      <c r="AF426" s="17"/>
      <c r="AG426" s="17"/>
      <c r="AH426" s="17"/>
      <c r="AI426" s="17"/>
      <c r="AJ426" s="17"/>
      <c r="AK426" s="17"/>
      <c r="AL426" s="19"/>
      <c r="AM426" s="19"/>
      <c r="AN426" s="19"/>
      <c r="AO426" s="19"/>
    </row>
    <row r="427" spans="16:41" x14ac:dyDescent="0.2">
      <c r="P427" s="17"/>
      <c r="X427" s="17"/>
      <c r="Y427" s="17"/>
      <c r="Z427" s="17"/>
      <c r="AA427" s="17"/>
      <c r="AB427" s="17"/>
      <c r="AC427" s="17"/>
      <c r="AD427" s="17"/>
      <c r="AE427" s="17"/>
      <c r="AF427" s="17"/>
      <c r="AG427" s="17"/>
      <c r="AH427" s="17"/>
      <c r="AI427" s="17"/>
      <c r="AJ427" s="17"/>
      <c r="AK427" s="17"/>
      <c r="AL427" s="19"/>
      <c r="AM427" s="19"/>
      <c r="AN427" s="19"/>
      <c r="AO427" s="19"/>
    </row>
    <row r="428" spans="16:41" x14ac:dyDescent="0.2">
      <c r="P428" s="17"/>
      <c r="X428" s="17"/>
      <c r="Y428" s="17"/>
      <c r="Z428" s="17"/>
      <c r="AA428" s="17"/>
      <c r="AB428" s="17"/>
      <c r="AC428" s="17"/>
      <c r="AD428" s="17"/>
      <c r="AE428" s="17"/>
      <c r="AF428" s="17"/>
      <c r="AG428" s="17"/>
      <c r="AH428" s="17"/>
      <c r="AI428" s="17"/>
      <c r="AJ428" s="17"/>
      <c r="AK428" s="17"/>
      <c r="AL428" s="19"/>
      <c r="AM428" s="19"/>
      <c r="AN428" s="19"/>
      <c r="AO428" s="19"/>
    </row>
    <row r="429" spans="16:41" x14ac:dyDescent="0.2">
      <c r="P429" s="17"/>
      <c r="X429" s="17"/>
      <c r="Y429" s="17"/>
      <c r="Z429" s="17"/>
      <c r="AA429" s="17"/>
      <c r="AB429" s="17"/>
      <c r="AC429" s="17"/>
      <c r="AD429" s="17"/>
      <c r="AE429" s="17"/>
      <c r="AF429" s="17"/>
      <c r="AG429" s="17"/>
      <c r="AH429" s="17"/>
      <c r="AI429" s="17"/>
      <c r="AJ429" s="17"/>
      <c r="AK429" s="17"/>
      <c r="AL429" s="19"/>
      <c r="AM429" s="19"/>
      <c r="AN429" s="19"/>
      <c r="AO429" s="19"/>
    </row>
    <row r="430" spans="16:41" x14ac:dyDescent="0.2">
      <c r="P430" s="17"/>
      <c r="X430" s="17"/>
      <c r="Y430" s="17"/>
      <c r="Z430" s="17"/>
      <c r="AA430" s="17"/>
      <c r="AB430" s="17"/>
      <c r="AC430" s="17"/>
      <c r="AD430" s="17"/>
      <c r="AE430" s="17"/>
      <c r="AF430" s="17"/>
      <c r="AG430" s="17"/>
      <c r="AH430" s="17"/>
      <c r="AI430" s="17"/>
      <c r="AJ430" s="17"/>
      <c r="AK430" s="17"/>
      <c r="AL430" s="19"/>
      <c r="AM430" s="19"/>
      <c r="AN430" s="19"/>
      <c r="AO430" s="19"/>
    </row>
    <row r="431" spans="16:41" ht="15" x14ac:dyDescent="0.25">
      <c r="P431" s="17"/>
      <c r="Q431" s="396"/>
      <c r="R431" s="397"/>
      <c r="S431" s="397"/>
      <c r="T431" s="17"/>
      <c r="U431" s="396"/>
      <c r="V431" s="397"/>
      <c r="W431" s="397"/>
      <c r="X431" s="17"/>
      <c r="Y431" s="17"/>
      <c r="Z431" s="17"/>
      <c r="AA431" s="17"/>
      <c r="AB431" s="17"/>
      <c r="AC431" s="17"/>
      <c r="AD431" s="17"/>
      <c r="AE431" s="17"/>
      <c r="AF431" s="17"/>
      <c r="AG431" s="17"/>
      <c r="AH431" s="17"/>
      <c r="AI431" s="17"/>
      <c r="AJ431" s="17"/>
      <c r="AK431" s="17"/>
      <c r="AL431" s="19"/>
      <c r="AM431" s="19"/>
      <c r="AN431" s="19"/>
      <c r="AO431" s="19"/>
    </row>
    <row r="432" spans="16:41" x14ac:dyDescent="0.2">
      <c r="P432" s="17"/>
      <c r="Q432" s="17"/>
      <c r="S432" s="17"/>
      <c r="T432" s="17"/>
      <c r="U432" s="17"/>
      <c r="X432" s="17"/>
      <c r="Y432" s="17"/>
      <c r="Z432" s="17"/>
      <c r="AA432" s="17"/>
      <c r="AB432" s="17"/>
      <c r="AC432" s="17"/>
      <c r="AD432" s="17"/>
      <c r="AE432" s="17"/>
      <c r="AF432" s="17"/>
      <c r="AG432" s="17"/>
      <c r="AH432" s="17"/>
      <c r="AI432" s="17"/>
      <c r="AJ432" s="17"/>
      <c r="AK432" s="17"/>
      <c r="AL432" s="19"/>
      <c r="AM432" s="19"/>
      <c r="AN432" s="19"/>
      <c r="AO432" s="19"/>
    </row>
    <row r="433" spans="16:41" ht="15" x14ac:dyDescent="0.25">
      <c r="P433" s="17"/>
      <c r="Q433" s="17"/>
      <c r="S433" s="266"/>
      <c r="T433" s="17"/>
      <c r="U433" s="17"/>
      <c r="X433" s="17"/>
      <c r="Y433" s="17"/>
      <c r="Z433" s="17"/>
      <c r="AA433" s="17"/>
      <c r="AB433" s="17"/>
      <c r="AC433" s="17"/>
      <c r="AD433" s="17"/>
      <c r="AE433" s="17"/>
      <c r="AF433" s="17"/>
      <c r="AG433" s="17"/>
      <c r="AH433" s="17"/>
      <c r="AI433" s="17"/>
      <c r="AJ433" s="17"/>
      <c r="AK433" s="17"/>
      <c r="AL433" s="19"/>
      <c r="AM433" s="19"/>
      <c r="AN433" s="19"/>
      <c r="AO433" s="19"/>
    </row>
    <row r="434" spans="16:41" ht="15" x14ac:dyDescent="0.25">
      <c r="P434" s="17"/>
      <c r="Q434" s="17"/>
      <c r="R434" s="265"/>
      <c r="S434" s="266"/>
      <c r="T434" s="17"/>
      <c r="U434" s="17"/>
      <c r="V434" s="265"/>
      <c r="W434" s="266"/>
      <c r="X434" s="17"/>
      <c r="Y434" s="17"/>
      <c r="Z434" s="17"/>
      <c r="AA434" s="17"/>
      <c r="AB434" s="17"/>
      <c r="AC434" s="17"/>
      <c r="AD434" s="17"/>
      <c r="AE434" s="17"/>
      <c r="AF434" s="17"/>
      <c r="AG434" s="17"/>
      <c r="AH434" s="17"/>
      <c r="AI434" s="17"/>
      <c r="AJ434" s="17"/>
      <c r="AK434" s="17"/>
      <c r="AL434" s="19"/>
      <c r="AM434" s="19"/>
      <c r="AN434" s="19"/>
      <c r="AO434" s="19"/>
    </row>
    <row r="435" spans="16:41" ht="15" x14ac:dyDescent="0.25">
      <c r="P435" s="17"/>
      <c r="Q435" s="17"/>
      <c r="S435" s="266"/>
      <c r="T435" s="17"/>
      <c r="U435" s="17"/>
      <c r="X435" s="17"/>
      <c r="Y435" s="17"/>
      <c r="Z435" s="17"/>
      <c r="AA435" s="17"/>
      <c r="AB435" s="17"/>
      <c r="AC435" s="17"/>
      <c r="AD435" s="17"/>
      <c r="AE435" s="17"/>
      <c r="AF435" s="17"/>
      <c r="AG435" s="17"/>
      <c r="AH435" s="17"/>
      <c r="AI435" s="17"/>
      <c r="AJ435" s="17"/>
      <c r="AK435" s="17"/>
      <c r="AL435" s="19"/>
      <c r="AM435" s="19"/>
      <c r="AN435" s="19"/>
      <c r="AO435" s="19"/>
    </row>
    <row r="436" spans="16:41" x14ac:dyDescent="0.2"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  <c r="AA436" s="17"/>
      <c r="AB436" s="17"/>
      <c r="AC436" s="17"/>
      <c r="AD436" s="17"/>
      <c r="AE436" s="17"/>
      <c r="AF436" s="17"/>
      <c r="AG436" s="17"/>
      <c r="AH436" s="17"/>
      <c r="AI436" s="17"/>
      <c r="AJ436" s="17"/>
      <c r="AK436" s="17"/>
      <c r="AL436" s="19"/>
      <c r="AM436" s="19"/>
      <c r="AN436" s="19"/>
      <c r="AO436" s="19"/>
    </row>
    <row r="437" spans="16:41" x14ac:dyDescent="0.2">
      <c r="P437" s="17"/>
      <c r="Q437" s="17"/>
      <c r="R437" s="17"/>
      <c r="S437" s="17"/>
      <c r="T437" s="17"/>
      <c r="U437" s="17"/>
      <c r="V437" s="17"/>
      <c r="W437" s="17"/>
      <c r="X437" s="17"/>
      <c r="Y437" s="17"/>
      <c r="Z437" s="17"/>
      <c r="AA437" s="17"/>
      <c r="AB437" s="17"/>
      <c r="AC437" s="17"/>
      <c r="AD437" s="17"/>
      <c r="AE437" s="17"/>
      <c r="AF437" s="17"/>
      <c r="AG437" s="17"/>
      <c r="AH437" s="17"/>
      <c r="AI437" s="17"/>
      <c r="AJ437" s="17"/>
      <c r="AK437" s="17"/>
      <c r="AL437" s="19"/>
      <c r="AM437" s="19"/>
      <c r="AN437" s="19"/>
      <c r="AO437" s="19"/>
    </row>
    <row r="438" spans="16:41" x14ac:dyDescent="0.2">
      <c r="P438" s="17"/>
      <c r="Q438" s="17"/>
      <c r="R438" s="17"/>
      <c r="S438" s="17"/>
      <c r="T438" s="17"/>
      <c r="U438" s="17"/>
      <c r="V438" s="17"/>
      <c r="W438" s="17"/>
      <c r="X438" s="17"/>
      <c r="Y438" s="17"/>
      <c r="Z438" s="17"/>
      <c r="AA438" s="17"/>
      <c r="AB438" s="17"/>
      <c r="AC438" s="17"/>
      <c r="AD438" s="17"/>
      <c r="AE438" s="17"/>
      <c r="AF438" s="17"/>
      <c r="AG438" s="17"/>
      <c r="AH438" s="17"/>
      <c r="AI438" s="17"/>
      <c r="AJ438" s="17"/>
      <c r="AK438" s="17"/>
      <c r="AL438" s="19"/>
      <c r="AM438" s="19"/>
      <c r="AN438" s="19"/>
      <c r="AO438" s="19"/>
    </row>
    <row r="439" spans="16:41" x14ac:dyDescent="0.2">
      <c r="P439" s="17"/>
      <c r="Q439" s="17"/>
      <c r="R439" s="17"/>
      <c r="S439" s="17"/>
      <c r="T439" s="17"/>
      <c r="U439" s="17"/>
      <c r="V439" s="17"/>
      <c r="W439" s="17"/>
      <c r="X439" s="17"/>
      <c r="Y439" s="17"/>
      <c r="Z439" s="17"/>
      <c r="AA439" s="17"/>
      <c r="AB439" s="17"/>
      <c r="AC439" s="17"/>
      <c r="AD439" s="17"/>
      <c r="AE439" s="17"/>
      <c r="AF439" s="17"/>
      <c r="AG439" s="17"/>
      <c r="AH439" s="17"/>
      <c r="AI439" s="17"/>
      <c r="AJ439" s="17"/>
      <c r="AK439" s="17"/>
      <c r="AL439" s="19"/>
      <c r="AM439" s="19"/>
      <c r="AN439" s="19"/>
      <c r="AO439" s="19"/>
    </row>
    <row r="440" spans="16:41" x14ac:dyDescent="0.2">
      <c r="P440" s="17"/>
      <c r="Q440" s="17"/>
      <c r="R440" s="17"/>
      <c r="S440" s="17"/>
      <c r="T440" s="17"/>
      <c r="U440" s="17"/>
      <c r="V440" s="17"/>
      <c r="W440" s="17"/>
      <c r="X440" s="17"/>
      <c r="Y440" s="17"/>
      <c r="Z440" s="17"/>
      <c r="AA440" s="17"/>
      <c r="AB440" s="17"/>
      <c r="AC440" s="17"/>
      <c r="AD440" s="17"/>
      <c r="AE440" s="17"/>
      <c r="AF440" s="17"/>
      <c r="AG440" s="17"/>
      <c r="AH440" s="17"/>
      <c r="AI440" s="17"/>
      <c r="AJ440" s="17"/>
      <c r="AK440" s="17"/>
      <c r="AL440" s="19"/>
      <c r="AM440" s="19"/>
      <c r="AN440" s="19"/>
      <c r="AO440" s="19"/>
    </row>
    <row r="441" spans="16:41" x14ac:dyDescent="0.2">
      <c r="P441" s="17"/>
      <c r="Q441" s="17"/>
      <c r="R441" s="17"/>
      <c r="S441" s="17"/>
      <c r="T441" s="17"/>
      <c r="U441" s="17"/>
      <c r="V441" s="17"/>
      <c r="W441" s="17"/>
      <c r="X441" s="17"/>
      <c r="Y441" s="17"/>
      <c r="Z441" s="17"/>
      <c r="AA441" s="17"/>
      <c r="AB441" s="17"/>
      <c r="AC441" s="17"/>
      <c r="AD441" s="17"/>
      <c r="AE441" s="17"/>
      <c r="AF441" s="17"/>
      <c r="AG441" s="17"/>
      <c r="AH441" s="17"/>
      <c r="AI441" s="17"/>
      <c r="AJ441" s="17"/>
      <c r="AK441" s="17"/>
      <c r="AL441" s="19"/>
      <c r="AM441" s="19"/>
      <c r="AN441" s="19"/>
      <c r="AO441" s="19"/>
    </row>
    <row r="442" spans="16:41" x14ac:dyDescent="0.2">
      <c r="P442" s="17"/>
      <c r="Q442" s="17"/>
      <c r="R442" s="17"/>
      <c r="S442" s="17"/>
      <c r="T442" s="17"/>
      <c r="U442" s="17"/>
      <c r="V442" s="17"/>
      <c r="W442" s="17"/>
      <c r="X442" s="17"/>
      <c r="Y442" s="17"/>
      <c r="Z442" s="17"/>
      <c r="AA442" s="17"/>
      <c r="AB442" s="17"/>
      <c r="AC442" s="17"/>
      <c r="AD442" s="17"/>
      <c r="AE442" s="17"/>
      <c r="AF442" s="17"/>
      <c r="AG442" s="17"/>
      <c r="AH442" s="17"/>
      <c r="AI442" s="17"/>
      <c r="AJ442" s="17"/>
      <c r="AK442" s="17"/>
      <c r="AL442" s="19"/>
      <c r="AM442" s="19"/>
      <c r="AN442" s="19"/>
      <c r="AO442" s="19"/>
    </row>
    <row r="443" spans="16:41" x14ac:dyDescent="0.2">
      <c r="P443" s="17"/>
      <c r="Q443" s="17"/>
      <c r="R443" s="17"/>
      <c r="S443" s="17"/>
      <c r="T443" s="17"/>
      <c r="U443" s="17"/>
      <c r="V443" s="17"/>
      <c r="W443" s="17"/>
      <c r="X443" s="17"/>
      <c r="Y443" s="17"/>
      <c r="Z443" s="17"/>
      <c r="AA443" s="17"/>
      <c r="AB443" s="17"/>
      <c r="AC443" s="17"/>
      <c r="AD443" s="17"/>
      <c r="AE443" s="17"/>
      <c r="AF443" s="17"/>
      <c r="AG443" s="17"/>
      <c r="AH443" s="17"/>
      <c r="AI443" s="17"/>
      <c r="AJ443" s="17"/>
      <c r="AK443" s="17"/>
      <c r="AL443" s="19"/>
      <c r="AM443" s="19"/>
      <c r="AN443" s="19"/>
      <c r="AO443" s="19"/>
    </row>
    <row r="444" spans="16:41" x14ac:dyDescent="0.2">
      <c r="P444" s="17"/>
      <c r="Q444" s="17"/>
      <c r="R444" s="17"/>
      <c r="S444" s="17"/>
      <c r="T444" s="17"/>
      <c r="U444" s="17"/>
      <c r="V444" s="17"/>
      <c r="W444" s="17"/>
      <c r="X444" s="17"/>
      <c r="Y444" s="17"/>
      <c r="Z444" s="17"/>
      <c r="AA444" s="17"/>
      <c r="AB444" s="17"/>
      <c r="AC444" s="17"/>
      <c r="AD444" s="17"/>
      <c r="AE444" s="17"/>
      <c r="AF444" s="17"/>
      <c r="AG444" s="17"/>
      <c r="AH444" s="17"/>
      <c r="AI444" s="17"/>
      <c r="AJ444" s="17"/>
      <c r="AK444" s="17"/>
      <c r="AL444" s="19"/>
      <c r="AM444" s="19"/>
      <c r="AN444" s="19"/>
      <c r="AO444" s="19"/>
    </row>
    <row r="445" spans="16:41" x14ac:dyDescent="0.2">
      <c r="P445" s="17"/>
      <c r="Q445" s="17"/>
      <c r="R445" s="17"/>
      <c r="S445" s="17"/>
      <c r="T445" s="17"/>
      <c r="U445" s="17"/>
      <c r="V445" s="17"/>
      <c r="W445" s="17"/>
      <c r="X445" s="17"/>
      <c r="Y445" s="17"/>
      <c r="Z445" s="17"/>
      <c r="AA445" s="17"/>
      <c r="AB445" s="17"/>
      <c r="AC445" s="17"/>
      <c r="AD445" s="17"/>
      <c r="AE445" s="17"/>
      <c r="AF445" s="17"/>
      <c r="AG445" s="17"/>
      <c r="AH445" s="17"/>
      <c r="AI445" s="17"/>
      <c r="AJ445" s="17"/>
      <c r="AK445" s="17"/>
      <c r="AL445" s="19"/>
      <c r="AM445" s="19"/>
      <c r="AN445" s="19"/>
      <c r="AO445" s="19"/>
    </row>
    <row r="446" spans="16:41" x14ac:dyDescent="0.2">
      <c r="P446" s="17"/>
      <c r="Q446" s="17"/>
      <c r="R446" s="17"/>
      <c r="S446" s="17"/>
      <c r="T446" s="17"/>
      <c r="U446" s="17"/>
      <c r="V446" s="17"/>
      <c r="W446" s="17"/>
      <c r="X446" s="17"/>
      <c r="Y446" s="17"/>
      <c r="Z446" s="17"/>
      <c r="AA446" s="17"/>
      <c r="AB446" s="17"/>
      <c r="AC446" s="17"/>
      <c r="AD446" s="17"/>
      <c r="AE446" s="17"/>
      <c r="AF446" s="17"/>
      <c r="AG446" s="17"/>
      <c r="AH446" s="17"/>
      <c r="AI446" s="17"/>
      <c r="AJ446" s="17"/>
      <c r="AK446" s="17"/>
      <c r="AL446" s="19"/>
      <c r="AM446" s="19"/>
      <c r="AN446" s="19"/>
      <c r="AO446" s="19"/>
    </row>
    <row r="447" spans="16:41" x14ac:dyDescent="0.2">
      <c r="P447" s="17"/>
      <c r="Q447" s="17"/>
      <c r="R447" s="17"/>
      <c r="S447" s="17"/>
      <c r="T447" s="17"/>
      <c r="U447" s="17"/>
      <c r="V447" s="17"/>
      <c r="W447" s="17"/>
      <c r="X447" s="17"/>
      <c r="Y447" s="17"/>
      <c r="Z447" s="17"/>
      <c r="AA447" s="17"/>
      <c r="AB447" s="17"/>
      <c r="AC447" s="17"/>
      <c r="AD447" s="17"/>
      <c r="AE447" s="17"/>
      <c r="AF447" s="17"/>
      <c r="AG447" s="17"/>
      <c r="AH447" s="17"/>
      <c r="AI447" s="17"/>
      <c r="AJ447" s="17"/>
      <c r="AK447" s="17"/>
      <c r="AL447" s="19"/>
      <c r="AM447" s="19"/>
      <c r="AN447" s="19"/>
      <c r="AO447" s="19"/>
    </row>
    <row r="448" spans="16:41" x14ac:dyDescent="0.2">
      <c r="P448" s="17"/>
      <c r="Q448" s="17"/>
      <c r="R448" s="17"/>
      <c r="S448" s="17"/>
      <c r="T448" s="17"/>
      <c r="U448" s="17"/>
      <c r="V448" s="17"/>
      <c r="W448" s="17"/>
      <c r="X448" s="17"/>
      <c r="Y448" s="17"/>
      <c r="Z448" s="17"/>
      <c r="AA448" s="17"/>
      <c r="AB448" s="17"/>
      <c r="AC448" s="17"/>
      <c r="AD448" s="17"/>
      <c r="AE448" s="17"/>
      <c r="AF448" s="17"/>
      <c r="AG448" s="17"/>
      <c r="AH448" s="17"/>
      <c r="AI448" s="17"/>
      <c r="AJ448" s="17"/>
      <c r="AK448" s="17"/>
      <c r="AL448" s="19"/>
      <c r="AM448" s="19"/>
      <c r="AN448" s="19"/>
      <c r="AO448" s="19"/>
    </row>
    <row r="449" spans="16:41" x14ac:dyDescent="0.2">
      <c r="P449" s="17"/>
      <c r="Q449" s="17"/>
      <c r="R449" s="17"/>
      <c r="S449" s="17"/>
      <c r="T449" s="17"/>
      <c r="U449" s="17"/>
      <c r="V449" s="17"/>
      <c r="W449" s="17"/>
      <c r="X449" s="17"/>
      <c r="Y449" s="17"/>
      <c r="Z449" s="17"/>
      <c r="AA449" s="17"/>
      <c r="AB449" s="17"/>
      <c r="AC449" s="17"/>
      <c r="AD449" s="17"/>
      <c r="AE449" s="17"/>
      <c r="AF449" s="17"/>
      <c r="AG449" s="17"/>
      <c r="AH449" s="17"/>
      <c r="AI449" s="17"/>
      <c r="AJ449" s="17"/>
      <c r="AK449" s="17"/>
      <c r="AL449" s="19"/>
      <c r="AM449" s="19"/>
      <c r="AN449" s="19"/>
      <c r="AO449" s="19"/>
    </row>
    <row r="450" spans="16:41" x14ac:dyDescent="0.2">
      <c r="P450" s="17"/>
      <c r="Q450" s="17"/>
      <c r="R450" s="17"/>
      <c r="S450" s="17"/>
      <c r="T450" s="17"/>
      <c r="U450" s="17"/>
      <c r="V450" s="17"/>
      <c r="W450" s="17"/>
      <c r="X450" s="17"/>
      <c r="Y450" s="17"/>
      <c r="Z450" s="17"/>
      <c r="AA450" s="17"/>
      <c r="AB450" s="17"/>
      <c r="AC450" s="17"/>
      <c r="AD450" s="17"/>
      <c r="AE450" s="17"/>
      <c r="AF450" s="17"/>
      <c r="AG450" s="17"/>
      <c r="AH450" s="17"/>
      <c r="AI450" s="17"/>
      <c r="AJ450" s="17"/>
      <c r="AK450" s="17"/>
      <c r="AL450" s="19"/>
      <c r="AM450" s="19"/>
      <c r="AN450" s="19"/>
      <c r="AO450" s="19"/>
    </row>
    <row r="451" spans="16:41" x14ac:dyDescent="0.2">
      <c r="P451" s="17"/>
      <c r="Q451" s="17"/>
      <c r="R451" s="17"/>
      <c r="S451" s="17"/>
      <c r="T451" s="17"/>
      <c r="U451" s="17"/>
      <c r="V451" s="17"/>
      <c r="W451" s="17"/>
      <c r="X451" s="17"/>
      <c r="Y451" s="17"/>
      <c r="Z451" s="17"/>
      <c r="AA451" s="17"/>
      <c r="AB451" s="17"/>
      <c r="AC451" s="17"/>
      <c r="AD451" s="17"/>
      <c r="AE451" s="17"/>
      <c r="AF451" s="17"/>
      <c r="AG451" s="17"/>
      <c r="AH451" s="17"/>
      <c r="AI451" s="17"/>
      <c r="AJ451" s="17"/>
      <c r="AK451" s="17"/>
      <c r="AL451" s="19"/>
      <c r="AM451" s="19"/>
      <c r="AN451" s="19"/>
      <c r="AO451" s="19"/>
    </row>
    <row r="452" spans="16:41" x14ac:dyDescent="0.2">
      <c r="P452" s="17"/>
      <c r="Q452" s="17"/>
      <c r="R452" s="17"/>
      <c r="S452" s="17"/>
      <c r="T452" s="17"/>
      <c r="U452" s="17"/>
      <c r="V452" s="17"/>
      <c r="W452" s="17"/>
      <c r="X452" s="17"/>
      <c r="Y452" s="17"/>
      <c r="Z452" s="17"/>
      <c r="AA452" s="17"/>
      <c r="AB452" s="17"/>
      <c r="AC452" s="17"/>
      <c r="AD452" s="17"/>
      <c r="AE452" s="17"/>
      <c r="AF452" s="17"/>
      <c r="AG452" s="17"/>
      <c r="AH452" s="17"/>
      <c r="AI452" s="17"/>
      <c r="AJ452" s="17"/>
      <c r="AK452" s="17"/>
      <c r="AL452" s="19"/>
      <c r="AM452" s="19"/>
      <c r="AN452" s="19"/>
      <c r="AO452" s="19"/>
    </row>
    <row r="453" spans="16:41" x14ac:dyDescent="0.2">
      <c r="P453" s="17"/>
      <c r="Q453" s="17"/>
      <c r="R453" s="17"/>
      <c r="S453" s="17"/>
      <c r="T453" s="17"/>
      <c r="U453" s="17"/>
      <c r="V453" s="17"/>
      <c r="W453" s="17"/>
      <c r="X453" s="17"/>
      <c r="Y453" s="17"/>
      <c r="Z453" s="17"/>
      <c r="AA453" s="17"/>
      <c r="AB453" s="17"/>
      <c r="AC453" s="17"/>
      <c r="AD453" s="17"/>
      <c r="AE453" s="17"/>
      <c r="AF453" s="17"/>
      <c r="AG453" s="17"/>
      <c r="AH453" s="17"/>
      <c r="AI453" s="17"/>
      <c r="AJ453" s="17"/>
      <c r="AK453" s="17"/>
      <c r="AL453" s="19"/>
      <c r="AM453" s="19"/>
      <c r="AN453" s="19"/>
      <c r="AO453" s="19"/>
    </row>
    <row r="454" spans="16:41" x14ac:dyDescent="0.2">
      <c r="P454" s="17"/>
      <c r="Q454" s="17"/>
      <c r="R454" s="17"/>
      <c r="S454" s="17"/>
      <c r="T454" s="17"/>
      <c r="U454" s="17"/>
      <c r="V454" s="17"/>
      <c r="W454" s="17"/>
      <c r="X454" s="17"/>
      <c r="Y454" s="17"/>
      <c r="Z454" s="17"/>
      <c r="AA454" s="17"/>
      <c r="AB454" s="17"/>
      <c r="AC454" s="17"/>
      <c r="AD454" s="17"/>
      <c r="AE454" s="17"/>
      <c r="AF454" s="17"/>
      <c r="AG454" s="17"/>
      <c r="AH454" s="17"/>
      <c r="AI454" s="17"/>
      <c r="AJ454" s="17"/>
      <c r="AK454" s="17"/>
      <c r="AL454" s="19"/>
      <c r="AM454" s="19"/>
      <c r="AN454" s="19"/>
      <c r="AO454" s="19"/>
    </row>
    <row r="455" spans="16:41" x14ac:dyDescent="0.2">
      <c r="P455" s="17"/>
      <c r="Q455" s="17"/>
      <c r="R455" s="17"/>
      <c r="S455" s="17"/>
      <c r="T455" s="17"/>
      <c r="U455" s="17"/>
      <c r="V455" s="17"/>
      <c r="W455" s="17"/>
      <c r="X455" s="17"/>
      <c r="Y455" s="17"/>
      <c r="Z455" s="17"/>
      <c r="AA455" s="17"/>
      <c r="AB455" s="17"/>
      <c r="AC455" s="17"/>
      <c r="AD455" s="17"/>
      <c r="AE455" s="17"/>
      <c r="AF455" s="17"/>
      <c r="AG455" s="17"/>
      <c r="AH455" s="17"/>
      <c r="AI455" s="17"/>
      <c r="AJ455" s="17"/>
      <c r="AK455" s="17"/>
      <c r="AL455" s="19"/>
      <c r="AM455" s="19"/>
      <c r="AN455" s="19"/>
      <c r="AO455" s="19"/>
    </row>
    <row r="456" spans="16:41" x14ac:dyDescent="0.2">
      <c r="P456" s="17"/>
      <c r="Q456" s="17"/>
      <c r="R456" s="17"/>
      <c r="S456" s="17"/>
      <c r="T456" s="17"/>
      <c r="U456" s="17"/>
      <c r="V456" s="17"/>
      <c r="W456" s="17"/>
      <c r="X456" s="17"/>
      <c r="Y456" s="17"/>
      <c r="Z456" s="17"/>
      <c r="AA456" s="17"/>
      <c r="AB456" s="17"/>
      <c r="AC456" s="17"/>
      <c r="AD456" s="17"/>
      <c r="AE456" s="17"/>
      <c r="AF456" s="17"/>
      <c r="AG456" s="17"/>
      <c r="AH456" s="17"/>
      <c r="AI456" s="17"/>
      <c r="AJ456" s="17"/>
      <c r="AK456" s="17"/>
      <c r="AL456" s="19"/>
      <c r="AM456" s="19"/>
      <c r="AN456" s="19"/>
      <c r="AO456" s="19"/>
    </row>
    <row r="457" spans="16:41" x14ac:dyDescent="0.2">
      <c r="P457" s="17"/>
      <c r="Q457" s="17"/>
      <c r="R457" s="17"/>
      <c r="S457" s="17"/>
      <c r="T457" s="17"/>
      <c r="U457" s="17"/>
      <c r="V457" s="17"/>
      <c r="W457" s="17"/>
      <c r="X457" s="17"/>
      <c r="Y457" s="17"/>
      <c r="Z457" s="17"/>
      <c r="AA457" s="17"/>
      <c r="AB457" s="17"/>
      <c r="AC457" s="17"/>
      <c r="AD457" s="17"/>
      <c r="AE457" s="17"/>
      <c r="AF457" s="17"/>
      <c r="AG457" s="17"/>
      <c r="AH457" s="17"/>
      <c r="AI457" s="17"/>
      <c r="AJ457" s="17"/>
      <c r="AK457" s="17"/>
      <c r="AL457" s="19"/>
      <c r="AM457" s="19"/>
      <c r="AN457" s="19"/>
      <c r="AO457" s="19"/>
    </row>
    <row r="458" spans="16:41" x14ac:dyDescent="0.2">
      <c r="P458" s="17"/>
      <c r="Q458" s="17"/>
      <c r="R458" s="17"/>
      <c r="S458" s="17"/>
      <c r="T458" s="17"/>
      <c r="U458" s="17"/>
      <c r="V458" s="17"/>
      <c r="W458" s="17"/>
      <c r="X458" s="17"/>
      <c r="Y458" s="17"/>
      <c r="Z458" s="17"/>
      <c r="AA458" s="17"/>
      <c r="AB458" s="17"/>
      <c r="AC458" s="17"/>
      <c r="AD458" s="17"/>
      <c r="AE458" s="17"/>
      <c r="AF458" s="17"/>
      <c r="AG458" s="17"/>
      <c r="AH458" s="17"/>
      <c r="AI458" s="17"/>
      <c r="AJ458" s="17"/>
      <c r="AK458" s="17"/>
      <c r="AL458" s="19"/>
      <c r="AM458" s="19"/>
      <c r="AN458" s="19"/>
      <c r="AO458" s="19"/>
    </row>
    <row r="459" spans="16:41" x14ac:dyDescent="0.2">
      <c r="P459" s="17"/>
      <c r="Q459" s="17"/>
      <c r="R459" s="17"/>
      <c r="S459" s="17"/>
      <c r="T459" s="17"/>
      <c r="U459" s="17"/>
      <c r="V459" s="17"/>
      <c r="W459" s="17"/>
      <c r="X459" s="17"/>
      <c r="Y459" s="17"/>
      <c r="Z459" s="17"/>
      <c r="AA459" s="17"/>
      <c r="AB459" s="17"/>
      <c r="AC459" s="17"/>
      <c r="AD459" s="17"/>
      <c r="AE459" s="17"/>
      <c r="AF459" s="17"/>
      <c r="AG459" s="17"/>
      <c r="AH459" s="17"/>
      <c r="AI459" s="17"/>
      <c r="AJ459" s="17"/>
      <c r="AK459" s="17"/>
      <c r="AL459" s="19"/>
      <c r="AM459" s="19"/>
      <c r="AN459" s="19"/>
      <c r="AO459" s="19"/>
    </row>
    <row r="460" spans="16:41" x14ac:dyDescent="0.2">
      <c r="P460" s="17"/>
      <c r="Q460" s="17"/>
      <c r="R460" s="17"/>
      <c r="S460" s="17"/>
      <c r="T460" s="17"/>
      <c r="U460" s="17"/>
      <c r="V460" s="17"/>
      <c r="W460" s="17"/>
      <c r="X460" s="17"/>
      <c r="Y460" s="17"/>
      <c r="Z460" s="17"/>
      <c r="AA460" s="17"/>
      <c r="AB460" s="17"/>
      <c r="AC460" s="17"/>
      <c r="AD460" s="17"/>
      <c r="AE460" s="17"/>
      <c r="AF460" s="17"/>
      <c r="AG460" s="17"/>
      <c r="AH460" s="17"/>
      <c r="AI460" s="17"/>
      <c r="AJ460" s="17"/>
      <c r="AK460" s="17"/>
      <c r="AL460" s="19"/>
      <c r="AM460" s="19"/>
      <c r="AN460" s="19"/>
      <c r="AO460" s="19"/>
    </row>
    <row r="461" spans="16:41" x14ac:dyDescent="0.2">
      <c r="P461" s="17"/>
      <c r="Q461" s="17"/>
      <c r="R461" s="17"/>
      <c r="S461" s="17"/>
      <c r="T461" s="17"/>
      <c r="U461" s="17"/>
      <c r="V461" s="17"/>
      <c r="W461" s="17"/>
      <c r="X461" s="17"/>
      <c r="Y461" s="17"/>
      <c r="Z461" s="17"/>
      <c r="AA461" s="17"/>
      <c r="AB461" s="17"/>
      <c r="AC461" s="17"/>
      <c r="AD461" s="17"/>
      <c r="AE461" s="17"/>
      <c r="AF461" s="17"/>
      <c r="AG461" s="17"/>
      <c r="AH461" s="17"/>
      <c r="AI461" s="17"/>
      <c r="AJ461" s="17"/>
      <c r="AK461" s="17"/>
      <c r="AL461" s="19"/>
      <c r="AM461" s="19"/>
      <c r="AN461" s="19"/>
      <c r="AO461" s="19"/>
    </row>
    <row r="462" spans="16:41" x14ac:dyDescent="0.2">
      <c r="P462" s="17"/>
      <c r="Q462" s="17"/>
      <c r="R462" s="17"/>
      <c r="S462" s="17"/>
      <c r="T462" s="17"/>
      <c r="U462" s="17"/>
      <c r="V462" s="17"/>
      <c r="W462" s="17"/>
      <c r="X462" s="17"/>
      <c r="Y462" s="17"/>
      <c r="Z462" s="17"/>
      <c r="AA462" s="17"/>
      <c r="AB462" s="17"/>
      <c r="AC462" s="17"/>
      <c r="AD462" s="17"/>
      <c r="AE462" s="17"/>
      <c r="AF462" s="17"/>
      <c r="AG462" s="17"/>
      <c r="AH462" s="17"/>
      <c r="AI462" s="17"/>
      <c r="AJ462" s="17"/>
      <c r="AK462" s="17"/>
      <c r="AL462" s="19"/>
      <c r="AM462" s="19"/>
      <c r="AN462" s="19"/>
      <c r="AO462" s="19"/>
    </row>
    <row r="463" spans="16:41" x14ac:dyDescent="0.2">
      <c r="P463" s="17"/>
      <c r="Q463" s="17"/>
      <c r="R463" s="17"/>
      <c r="S463" s="17"/>
      <c r="T463" s="17"/>
      <c r="U463" s="17"/>
      <c r="V463" s="17"/>
      <c r="W463" s="17"/>
      <c r="X463" s="17"/>
      <c r="Y463" s="17"/>
      <c r="Z463" s="17"/>
      <c r="AA463" s="17"/>
      <c r="AB463" s="17"/>
      <c r="AC463" s="17"/>
      <c r="AD463" s="17"/>
      <c r="AE463" s="17"/>
      <c r="AF463" s="17"/>
      <c r="AG463" s="17"/>
      <c r="AH463" s="17"/>
      <c r="AI463" s="17"/>
      <c r="AJ463" s="17"/>
      <c r="AK463" s="17"/>
      <c r="AL463" s="19"/>
      <c r="AM463" s="19"/>
      <c r="AN463" s="19"/>
      <c r="AO463" s="19"/>
    </row>
    <row r="464" spans="16:41" x14ac:dyDescent="0.2">
      <c r="P464" s="17"/>
      <c r="Q464" s="17"/>
      <c r="R464" s="17"/>
      <c r="S464" s="17"/>
      <c r="T464" s="17"/>
      <c r="U464" s="17"/>
      <c r="V464" s="17"/>
      <c r="W464" s="17"/>
      <c r="X464" s="17"/>
      <c r="Y464" s="17"/>
      <c r="Z464" s="17"/>
      <c r="AA464" s="17"/>
      <c r="AB464" s="17"/>
      <c r="AC464" s="17"/>
      <c r="AD464" s="17"/>
      <c r="AE464" s="17"/>
      <c r="AF464" s="17"/>
      <c r="AG464" s="17"/>
      <c r="AH464" s="17"/>
      <c r="AI464" s="17"/>
      <c r="AJ464" s="17"/>
      <c r="AK464" s="17"/>
      <c r="AL464" s="19"/>
      <c r="AM464" s="19"/>
      <c r="AN464" s="19"/>
      <c r="AO464" s="19"/>
    </row>
    <row r="465" spans="6:41" x14ac:dyDescent="0.2">
      <c r="P465" s="17"/>
      <c r="Q465" s="17"/>
      <c r="R465" s="17"/>
      <c r="S465" s="17"/>
      <c r="T465" s="17"/>
      <c r="U465" s="17"/>
      <c r="V465" s="17"/>
      <c r="W465" s="17"/>
      <c r="X465" s="17"/>
      <c r="Y465" s="17"/>
      <c r="Z465" s="17"/>
      <c r="AA465" s="17"/>
      <c r="AB465" s="17"/>
      <c r="AC465" s="17"/>
      <c r="AD465" s="17"/>
      <c r="AE465" s="17"/>
      <c r="AF465" s="17"/>
      <c r="AG465" s="17"/>
      <c r="AH465" s="17"/>
      <c r="AI465" s="17"/>
      <c r="AJ465" s="17"/>
      <c r="AK465" s="17"/>
      <c r="AL465" s="19"/>
      <c r="AM465" s="19"/>
      <c r="AN465" s="19"/>
      <c r="AO465" s="19"/>
    </row>
    <row r="466" spans="6:41" x14ac:dyDescent="0.2">
      <c r="P466" s="17"/>
      <c r="Q466" s="17"/>
      <c r="R466" s="17"/>
      <c r="S466" s="17"/>
      <c r="T466" s="17"/>
      <c r="U466" s="17"/>
      <c r="V466" s="17"/>
      <c r="W466" s="17"/>
      <c r="X466" s="17"/>
      <c r="Y466" s="17"/>
      <c r="Z466" s="17"/>
      <c r="AA466" s="17"/>
      <c r="AB466" s="17"/>
      <c r="AC466" s="17"/>
      <c r="AD466" s="17"/>
      <c r="AE466" s="17"/>
      <c r="AF466" s="17"/>
      <c r="AG466" s="17"/>
      <c r="AH466" s="17"/>
      <c r="AI466" s="17"/>
      <c r="AJ466" s="17"/>
      <c r="AK466" s="17"/>
      <c r="AL466" s="19"/>
      <c r="AM466" s="19"/>
      <c r="AN466" s="19"/>
      <c r="AO466" s="19"/>
    </row>
    <row r="467" spans="6:41" x14ac:dyDescent="0.2">
      <c r="P467" s="17"/>
      <c r="Q467" s="17"/>
      <c r="R467" s="17"/>
      <c r="S467" s="17"/>
      <c r="T467" s="17"/>
      <c r="U467" s="17"/>
      <c r="V467" s="17"/>
      <c r="W467" s="17"/>
      <c r="X467" s="17"/>
      <c r="Y467" s="17"/>
      <c r="Z467" s="17"/>
      <c r="AA467" s="17"/>
      <c r="AB467" s="17"/>
      <c r="AC467" s="17"/>
      <c r="AD467" s="17"/>
      <c r="AE467" s="17"/>
      <c r="AF467" s="17"/>
      <c r="AG467" s="17"/>
      <c r="AH467" s="17"/>
      <c r="AI467" s="17"/>
      <c r="AJ467" s="17"/>
      <c r="AK467" s="17"/>
      <c r="AL467" s="19"/>
      <c r="AM467" s="19"/>
      <c r="AN467" s="19"/>
      <c r="AO467" s="19"/>
    </row>
    <row r="468" spans="6:41" x14ac:dyDescent="0.2">
      <c r="F468" s="54"/>
      <c r="P468" s="17"/>
      <c r="Q468" s="17"/>
      <c r="R468" s="17"/>
      <c r="S468" s="17"/>
      <c r="T468" s="17"/>
      <c r="U468" s="17"/>
      <c r="V468" s="17"/>
      <c r="W468" s="17"/>
      <c r="X468" s="17"/>
      <c r="Y468" s="17"/>
      <c r="Z468" s="17"/>
      <c r="AA468" s="17"/>
      <c r="AB468" s="17"/>
      <c r="AC468" s="17"/>
      <c r="AD468" s="17"/>
      <c r="AE468" s="17"/>
      <c r="AF468" s="17"/>
      <c r="AG468" s="17"/>
      <c r="AH468" s="17"/>
      <c r="AI468" s="17"/>
      <c r="AJ468" s="17"/>
      <c r="AK468" s="17"/>
      <c r="AL468" s="19"/>
      <c r="AM468" s="19"/>
      <c r="AN468" s="19"/>
      <c r="AO468" s="19"/>
    </row>
    <row r="469" spans="6:41" x14ac:dyDescent="0.2">
      <c r="P469" s="17"/>
      <c r="Q469" s="17"/>
      <c r="R469" s="17"/>
      <c r="S469" s="17"/>
      <c r="T469" s="17"/>
      <c r="U469" s="17"/>
      <c r="V469" s="17"/>
      <c r="W469" s="17"/>
      <c r="X469" s="17"/>
      <c r="Y469" s="17"/>
      <c r="Z469" s="17"/>
      <c r="AA469" s="17"/>
      <c r="AB469" s="17"/>
      <c r="AC469" s="17"/>
      <c r="AD469" s="17"/>
      <c r="AE469" s="17"/>
      <c r="AF469" s="17"/>
      <c r="AG469" s="17"/>
      <c r="AH469" s="17"/>
      <c r="AI469" s="17"/>
      <c r="AJ469" s="17"/>
      <c r="AK469" s="17"/>
      <c r="AL469" s="19"/>
      <c r="AM469" s="19"/>
      <c r="AN469" s="19"/>
      <c r="AO469" s="19"/>
    </row>
    <row r="470" spans="6:41" x14ac:dyDescent="0.2">
      <c r="P470" s="17"/>
      <c r="Q470" s="17"/>
      <c r="R470" s="17"/>
      <c r="S470" s="17"/>
      <c r="T470" s="17"/>
      <c r="U470" s="17"/>
      <c r="V470" s="17"/>
      <c r="W470" s="17"/>
      <c r="X470" s="17"/>
      <c r="Y470" s="17"/>
      <c r="Z470" s="17"/>
      <c r="AA470" s="17"/>
      <c r="AB470" s="17"/>
      <c r="AC470" s="17"/>
      <c r="AD470" s="17"/>
      <c r="AE470" s="17"/>
      <c r="AF470" s="17"/>
      <c r="AG470" s="17"/>
      <c r="AH470" s="17"/>
      <c r="AI470" s="17"/>
      <c r="AJ470" s="17"/>
      <c r="AK470" s="17"/>
      <c r="AL470" s="19"/>
      <c r="AM470" s="19"/>
      <c r="AN470" s="19"/>
      <c r="AO470" s="19"/>
    </row>
    <row r="471" spans="6:41" x14ac:dyDescent="0.2">
      <c r="P471" s="17"/>
      <c r="Q471" s="17"/>
      <c r="R471" s="17"/>
      <c r="S471" s="17"/>
      <c r="T471" s="17"/>
      <c r="U471" s="17"/>
      <c r="V471" s="17"/>
      <c r="W471" s="17"/>
      <c r="X471" s="17"/>
      <c r="Y471" s="17"/>
      <c r="Z471" s="17"/>
      <c r="AA471" s="17"/>
      <c r="AB471" s="17"/>
      <c r="AC471" s="17"/>
      <c r="AD471" s="17"/>
      <c r="AE471" s="17"/>
      <c r="AF471" s="17"/>
      <c r="AG471" s="17"/>
      <c r="AH471" s="17"/>
      <c r="AI471" s="17"/>
      <c r="AJ471" s="17"/>
      <c r="AK471" s="17"/>
      <c r="AL471" s="19"/>
      <c r="AM471" s="19"/>
      <c r="AN471" s="19"/>
      <c r="AO471" s="19"/>
    </row>
    <row r="472" spans="6:41" x14ac:dyDescent="0.2">
      <c r="P472" s="17"/>
      <c r="Q472" s="17"/>
      <c r="R472" s="17"/>
      <c r="S472" s="17"/>
      <c r="T472" s="17"/>
      <c r="U472" s="17"/>
      <c r="V472" s="17"/>
      <c r="W472" s="17"/>
      <c r="X472" s="17"/>
      <c r="Y472" s="17"/>
      <c r="Z472" s="17"/>
      <c r="AA472" s="17"/>
      <c r="AB472" s="17"/>
      <c r="AC472" s="17"/>
      <c r="AD472" s="17"/>
      <c r="AE472" s="17"/>
      <c r="AF472" s="17"/>
      <c r="AG472" s="17"/>
      <c r="AH472" s="17"/>
      <c r="AI472" s="17"/>
      <c r="AJ472" s="17"/>
      <c r="AK472" s="17"/>
      <c r="AL472" s="19"/>
      <c r="AM472" s="19"/>
      <c r="AN472" s="19"/>
      <c r="AO472" s="19"/>
    </row>
    <row r="473" spans="6:41" x14ac:dyDescent="0.2">
      <c r="P473" s="17"/>
      <c r="Q473" s="17"/>
      <c r="R473" s="17"/>
      <c r="S473" s="17"/>
      <c r="T473" s="17"/>
      <c r="U473" s="17"/>
      <c r="V473" s="17"/>
      <c r="W473" s="17"/>
      <c r="X473" s="17"/>
      <c r="Y473" s="17"/>
      <c r="Z473" s="17"/>
      <c r="AA473" s="17"/>
      <c r="AB473" s="17"/>
      <c r="AC473" s="17"/>
      <c r="AD473" s="17"/>
      <c r="AE473" s="17"/>
      <c r="AF473" s="17"/>
      <c r="AG473" s="17"/>
      <c r="AH473" s="17"/>
      <c r="AI473" s="17"/>
      <c r="AJ473" s="17"/>
      <c r="AK473" s="17"/>
      <c r="AL473" s="19"/>
      <c r="AM473" s="19"/>
      <c r="AN473" s="19"/>
      <c r="AO473" s="19"/>
    </row>
    <row r="474" spans="6:41" x14ac:dyDescent="0.2">
      <c r="P474" s="17"/>
      <c r="Q474" s="17"/>
      <c r="R474" s="17"/>
      <c r="S474" s="17"/>
      <c r="T474" s="17"/>
      <c r="U474" s="17"/>
      <c r="V474" s="17"/>
      <c r="W474" s="17"/>
      <c r="X474" s="17"/>
      <c r="Y474" s="17"/>
      <c r="Z474" s="17"/>
      <c r="AA474" s="17"/>
      <c r="AB474" s="17"/>
      <c r="AC474" s="17"/>
      <c r="AD474" s="17"/>
      <c r="AE474" s="17"/>
      <c r="AF474" s="17"/>
      <c r="AG474" s="17"/>
      <c r="AH474" s="17"/>
      <c r="AI474" s="17"/>
      <c r="AJ474" s="17"/>
      <c r="AK474" s="17"/>
      <c r="AL474" s="19"/>
      <c r="AM474" s="19"/>
      <c r="AN474" s="19"/>
      <c r="AO474" s="19"/>
    </row>
    <row r="475" spans="6:41" x14ac:dyDescent="0.2">
      <c r="P475" s="17"/>
      <c r="Q475" s="17"/>
      <c r="R475" s="17"/>
      <c r="S475" s="17"/>
      <c r="T475" s="17"/>
      <c r="U475" s="17"/>
      <c r="V475" s="17"/>
      <c r="W475" s="17"/>
      <c r="X475" s="17"/>
      <c r="Y475" s="17"/>
      <c r="Z475" s="17"/>
      <c r="AA475" s="17"/>
      <c r="AB475" s="17"/>
      <c r="AC475" s="17"/>
      <c r="AD475" s="17"/>
      <c r="AE475" s="17"/>
      <c r="AF475" s="17"/>
      <c r="AG475" s="17"/>
      <c r="AH475" s="17"/>
      <c r="AI475" s="17"/>
      <c r="AJ475" s="17"/>
      <c r="AK475" s="17"/>
      <c r="AL475" s="19"/>
      <c r="AM475" s="19"/>
      <c r="AN475" s="19"/>
      <c r="AO475" s="19"/>
    </row>
    <row r="476" spans="6:41" x14ac:dyDescent="0.2">
      <c r="P476" s="17"/>
      <c r="Q476" s="17"/>
      <c r="R476" s="17"/>
      <c r="S476" s="17"/>
      <c r="T476" s="17"/>
      <c r="U476" s="17"/>
      <c r="V476" s="17"/>
      <c r="W476" s="17"/>
      <c r="X476" s="17"/>
      <c r="Y476" s="17"/>
      <c r="Z476" s="17"/>
      <c r="AA476" s="17"/>
      <c r="AB476" s="17"/>
      <c r="AC476" s="17"/>
      <c r="AD476" s="17"/>
      <c r="AE476" s="17"/>
      <c r="AF476" s="17"/>
      <c r="AG476" s="17"/>
      <c r="AH476" s="17"/>
      <c r="AI476" s="17"/>
      <c r="AJ476" s="17"/>
      <c r="AK476" s="17"/>
      <c r="AL476" s="19"/>
      <c r="AM476" s="19"/>
      <c r="AN476" s="19"/>
      <c r="AO476" s="19"/>
    </row>
    <row r="477" spans="6:41" x14ac:dyDescent="0.2">
      <c r="P477" s="17"/>
      <c r="Q477" s="17"/>
      <c r="R477" s="17"/>
      <c r="S477" s="17"/>
      <c r="T477" s="17"/>
      <c r="U477" s="17"/>
      <c r="V477" s="17"/>
      <c r="W477" s="17"/>
      <c r="X477" s="17"/>
      <c r="Y477" s="17"/>
      <c r="Z477" s="17"/>
      <c r="AA477" s="17"/>
      <c r="AB477" s="17"/>
      <c r="AC477" s="17"/>
      <c r="AD477" s="17"/>
      <c r="AE477" s="17"/>
      <c r="AF477" s="17"/>
      <c r="AG477" s="17"/>
      <c r="AH477" s="17"/>
      <c r="AI477" s="17"/>
      <c r="AJ477" s="17"/>
      <c r="AK477" s="17"/>
      <c r="AL477" s="19"/>
      <c r="AM477" s="19"/>
      <c r="AN477" s="19"/>
      <c r="AO477" s="19"/>
    </row>
    <row r="478" spans="6:41" x14ac:dyDescent="0.2">
      <c r="P478" s="17"/>
      <c r="Q478" s="17"/>
      <c r="R478" s="17"/>
      <c r="S478" s="17"/>
      <c r="T478" s="17"/>
      <c r="U478" s="17"/>
      <c r="V478" s="17"/>
      <c r="W478" s="17"/>
      <c r="X478" s="17"/>
      <c r="Y478" s="17"/>
      <c r="Z478" s="17"/>
      <c r="AA478" s="17"/>
      <c r="AB478" s="17"/>
      <c r="AC478" s="17"/>
      <c r="AD478" s="17"/>
      <c r="AE478" s="17"/>
      <c r="AF478" s="17"/>
      <c r="AG478" s="17"/>
      <c r="AH478" s="17"/>
      <c r="AI478" s="17"/>
      <c r="AJ478" s="17"/>
      <c r="AK478" s="17"/>
      <c r="AL478" s="19"/>
      <c r="AM478" s="19"/>
      <c r="AN478" s="19"/>
      <c r="AO478" s="19"/>
    </row>
    <row r="479" spans="6:41" x14ac:dyDescent="0.2">
      <c r="P479" s="17"/>
      <c r="Q479" s="17"/>
      <c r="R479" s="17"/>
      <c r="S479" s="17"/>
      <c r="T479" s="17"/>
      <c r="U479" s="17"/>
      <c r="V479" s="17"/>
      <c r="W479" s="17"/>
      <c r="X479" s="17"/>
      <c r="Y479" s="17"/>
      <c r="Z479" s="17"/>
      <c r="AA479" s="17"/>
      <c r="AB479" s="17"/>
      <c r="AC479" s="17"/>
      <c r="AD479" s="17"/>
      <c r="AE479" s="17"/>
      <c r="AF479" s="17"/>
      <c r="AG479" s="17"/>
      <c r="AH479" s="17"/>
      <c r="AI479" s="17"/>
      <c r="AJ479" s="17"/>
      <c r="AK479" s="17"/>
      <c r="AL479" s="19"/>
      <c r="AM479" s="19"/>
      <c r="AN479" s="19"/>
      <c r="AO479" s="19"/>
    </row>
    <row r="480" spans="6:41" x14ac:dyDescent="0.2">
      <c r="P480" s="17"/>
      <c r="Q480" s="17"/>
      <c r="Y480" s="17"/>
      <c r="Z480" s="17"/>
      <c r="AA480" s="17"/>
      <c r="AB480" s="17"/>
      <c r="AC480" s="17"/>
      <c r="AD480" s="17"/>
      <c r="AE480" s="17"/>
      <c r="AF480" s="17"/>
      <c r="AG480" s="17"/>
      <c r="AH480" s="17"/>
      <c r="AI480" s="17"/>
      <c r="AJ480" s="17"/>
      <c r="AK480" s="17"/>
      <c r="AL480" s="19"/>
      <c r="AM480" s="19"/>
      <c r="AN480" s="19"/>
      <c r="AO480" s="19"/>
    </row>
    <row r="481" spans="16:41" x14ac:dyDescent="0.2">
      <c r="P481" s="17"/>
      <c r="Q481" s="17"/>
      <c r="Y481" s="17"/>
      <c r="Z481" s="17"/>
      <c r="AA481" s="17"/>
      <c r="AB481" s="17"/>
      <c r="AC481" s="17"/>
      <c r="AD481" s="17"/>
      <c r="AE481" s="17"/>
      <c r="AF481" s="17"/>
      <c r="AG481" s="17"/>
      <c r="AH481" s="17"/>
      <c r="AI481" s="17"/>
      <c r="AJ481" s="17"/>
      <c r="AK481" s="17"/>
      <c r="AL481" s="19"/>
      <c r="AM481" s="19"/>
      <c r="AN481" s="19"/>
      <c r="AO481" s="19"/>
    </row>
    <row r="482" spans="16:41" x14ac:dyDescent="0.2">
      <c r="P482" s="17"/>
      <c r="Q482" s="17"/>
      <c r="Y482" s="17"/>
      <c r="Z482" s="17"/>
      <c r="AA482" s="17"/>
      <c r="AB482" s="17"/>
      <c r="AC482" s="17"/>
      <c r="AD482" s="17"/>
      <c r="AE482" s="17"/>
      <c r="AF482" s="17"/>
      <c r="AG482" s="17"/>
      <c r="AH482" s="17"/>
      <c r="AI482" s="17"/>
      <c r="AJ482" s="17"/>
      <c r="AK482" s="17"/>
      <c r="AL482" s="19"/>
      <c r="AM482" s="19"/>
      <c r="AN482" s="19"/>
      <c r="AO482" s="19"/>
    </row>
    <row r="483" spans="16:41" x14ac:dyDescent="0.2">
      <c r="P483" s="17"/>
      <c r="Q483" s="17"/>
      <c r="Y483" s="17"/>
      <c r="Z483" s="17"/>
      <c r="AA483" s="17"/>
      <c r="AB483" s="17"/>
      <c r="AC483" s="17"/>
      <c r="AD483" s="17"/>
      <c r="AE483" s="17"/>
      <c r="AF483" s="17"/>
      <c r="AG483" s="17"/>
      <c r="AH483" s="17"/>
      <c r="AI483" s="17"/>
      <c r="AJ483" s="17"/>
      <c r="AK483" s="17"/>
      <c r="AL483" s="19"/>
      <c r="AM483" s="19"/>
      <c r="AN483" s="19"/>
      <c r="AO483" s="19"/>
    </row>
    <row r="484" spans="16:41" x14ac:dyDescent="0.2">
      <c r="P484" s="17"/>
      <c r="Q484" s="17"/>
      <c r="Y484" s="17"/>
      <c r="Z484" s="17"/>
      <c r="AA484" s="17"/>
      <c r="AB484" s="17"/>
      <c r="AC484" s="17"/>
      <c r="AD484" s="17"/>
      <c r="AE484" s="17"/>
      <c r="AF484" s="17"/>
      <c r="AG484" s="17"/>
      <c r="AH484" s="17"/>
      <c r="AI484" s="17"/>
      <c r="AJ484" s="17"/>
      <c r="AK484" s="17"/>
      <c r="AL484" s="19"/>
      <c r="AM484" s="19"/>
      <c r="AN484" s="19"/>
      <c r="AO484" s="19"/>
    </row>
    <row r="485" spans="16:41" x14ac:dyDescent="0.2">
      <c r="P485" s="17"/>
      <c r="Q485" s="17"/>
      <c r="Y485" s="17"/>
      <c r="Z485" s="17"/>
      <c r="AA485" s="17"/>
      <c r="AB485" s="17"/>
      <c r="AC485" s="17"/>
      <c r="AD485" s="17"/>
      <c r="AE485" s="17"/>
      <c r="AF485" s="17"/>
      <c r="AG485" s="17"/>
      <c r="AH485" s="17"/>
      <c r="AI485" s="17"/>
      <c r="AJ485" s="17"/>
      <c r="AK485" s="17"/>
      <c r="AL485" s="19"/>
      <c r="AM485" s="19"/>
      <c r="AN485" s="19"/>
      <c r="AO485" s="19"/>
    </row>
    <row r="486" spans="16:41" x14ac:dyDescent="0.2">
      <c r="P486" s="17"/>
      <c r="Q486" s="17"/>
      <c r="Y486" s="17"/>
      <c r="Z486" s="17"/>
      <c r="AA486" s="17"/>
      <c r="AB486" s="17"/>
      <c r="AC486" s="17"/>
      <c r="AD486" s="17"/>
      <c r="AE486" s="17"/>
      <c r="AF486" s="17"/>
      <c r="AG486" s="17"/>
      <c r="AH486" s="17"/>
      <c r="AI486" s="17"/>
      <c r="AJ486" s="17"/>
      <c r="AK486" s="17"/>
      <c r="AL486" s="19"/>
      <c r="AM486" s="19"/>
      <c r="AN486" s="19"/>
      <c r="AO486" s="19"/>
    </row>
    <row r="487" spans="16:41" x14ac:dyDescent="0.2">
      <c r="P487" s="17"/>
      <c r="Q487" s="17"/>
      <c r="Y487" s="17"/>
      <c r="Z487" s="17"/>
      <c r="AA487" s="17"/>
      <c r="AB487" s="17"/>
      <c r="AC487" s="17"/>
      <c r="AD487" s="17"/>
      <c r="AE487" s="17"/>
      <c r="AF487" s="17"/>
      <c r="AG487" s="17"/>
      <c r="AH487" s="17"/>
      <c r="AI487" s="17"/>
      <c r="AJ487" s="17"/>
      <c r="AK487" s="17"/>
      <c r="AL487" s="19"/>
      <c r="AM487" s="19"/>
      <c r="AN487" s="19"/>
      <c r="AO487" s="19"/>
    </row>
    <row r="488" spans="16:41" x14ac:dyDescent="0.2">
      <c r="P488" s="17"/>
      <c r="Q488" s="17"/>
      <c r="Y488" s="17"/>
      <c r="Z488" s="17"/>
      <c r="AA488" s="17"/>
      <c r="AB488" s="17"/>
      <c r="AC488" s="17"/>
      <c r="AD488" s="17"/>
      <c r="AE488" s="17"/>
      <c r="AF488" s="17"/>
      <c r="AG488" s="17"/>
      <c r="AH488" s="17"/>
      <c r="AI488" s="17"/>
      <c r="AJ488" s="17"/>
      <c r="AK488" s="17"/>
      <c r="AL488" s="19"/>
      <c r="AM488" s="19"/>
      <c r="AN488" s="19"/>
      <c r="AO488" s="19"/>
    </row>
    <row r="489" spans="16:41" ht="15" x14ac:dyDescent="0.25">
      <c r="P489" s="17"/>
      <c r="Q489" s="396"/>
      <c r="R489" s="398"/>
      <c r="S489" s="398"/>
      <c r="T489" s="17"/>
      <c r="U489" s="396"/>
      <c r="V489" s="398"/>
      <c r="W489" s="398"/>
      <c r="X489" s="17"/>
      <c r="Y489" s="17"/>
      <c r="Z489" s="17"/>
      <c r="AA489" s="17"/>
      <c r="AB489" s="17"/>
      <c r="AC489" s="17"/>
      <c r="AD489" s="17"/>
      <c r="AE489" s="17"/>
      <c r="AF489" s="17"/>
      <c r="AG489" s="17"/>
      <c r="AH489" s="17"/>
      <c r="AI489" s="17"/>
      <c r="AJ489" s="17"/>
      <c r="AK489" s="17"/>
      <c r="AL489" s="19"/>
      <c r="AM489" s="19"/>
      <c r="AN489" s="19"/>
      <c r="AO489" s="19"/>
    </row>
    <row r="490" spans="16:41" x14ac:dyDescent="0.2">
      <c r="P490" s="17"/>
      <c r="Q490" s="17"/>
      <c r="S490" s="17"/>
      <c r="T490" s="17"/>
      <c r="U490" s="17"/>
      <c r="W490" s="17"/>
      <c r="X490" s="17"/>
      <c r="Y490" s="17"/>
      <c r="Z490" s="17"/>
      <c r="AA490" s="17"/>
      <c r="AB490" s="17"/>
      <c r="AC490" s="17"/>
      <c r="AD490" s="17"/>
      <c r="AE490" s="17"/>
      <c r="AF490" s="17"/>
      <c r="AG490" s="17"/>
      <c r="AH490" s="17"/>
      <c r="AI490" s="17"/>
      <c r="AJ490" s="17"/>
      <c r="AK490" s="17"/>
      <c r="AL490" s="19"/>
      <c r="AM490" s="19"/>
      <c r="AN490" s="19"/>
      <c r="AO490" s="19"/>
    </row>
    <row r="491" spans="16:41" ht="15" x14ac:dyDescent="0.25">
      <c r="P491" s="17"/>
      <c r="Q491" s="17"/>
      <c r="S491" s="266"/>
      <c r="T491" s="17"/>
      <c r="U491" s="17"/>
      <c r="V491" s="265"/>
      <c r="W491" s="266"/>
      <c r="X491" s="17"/>
      <c r="Y491" s="17"/>
      <c r="Z491" s="17"/>
      <c r="AA491" s="17"/>
      <c r="AB491" s="17"/>
      <c r="AC491" s="17"/>
      <c r="AD491" s="17"/>
      <c r="AE491" s="17"/>
      <c r="AF491" s="17"/>
      <c r="AG491" s="17"/>
      <c r="AH491" s="17"/>
      <c r="AI491" s="17"/>
      <c r="AJ491" s="17"/>
      <c r="AK491" s="17"/>
      <c r="AL491" s="19"/>
      <c r="AM491" s="19"/>
      <c r="AN491" s="19"/>
      <c r="AO491" s="19"/>
    </row>
    <row r="492" spans="16:41" ht="15" x14ac:dyDescent="0.25">
      <c r="P492" s="17"/>
      <c r="Q492" s="17"/>
      <c r="R492" s="265"/>
      <c r="S492" s="283"/>
      <c r="T492" s="17"/>
      <c r="U492" s="17"/>
      <c r="V492" s="265"/>
      <c r="W492" s="283"/>
      <c r="X492" s="17"/>
      <c r="Y492" s="17"/>
      <c r="Z492" s="17"/>
      <c r="AA492" s="17"/>
      <c r="AB492" s="17"/>
      <c r="AC492" s="17"/>
      <c r="AD492" s="17"/>
      <c r="AE492" s="17"/>
      <c r="AF492" s="17"/>
      <c r="AG492" s="17"/>
      <c r="AH492" s="17"/>
      <c r="AI492" s="17"/>
      <c r="AJ492" s="17"/>
      <c r="AK492" s="17"/>
      <c r="AL492" s="19"/>
      <c r="AM492" s="19"/>
      <c r="AN492" s="19"/>
      <c r="AO492" s="19"/>
    </row>
    <row r="493" spans="16:41" ht="15" x14ac:dyDescent="0.25">
      <c r="P493" s="17"/>
      <c r="Q493" s="17"/>
      <c r="R493" s="284"/>
      <c r="S493" s="283"/>
      <c r="T493" s="17"/>
      <c r="U493" s="17"/>
      <c r="V493" s="284"/>
      <c r="W493" s="283"/>
      <c r="X493" s="17"/>
      <c r="Y493" s="17"/>
      <c r="Z493" s="17"/>
      <c r="AA493" s="17"/>
      <c r="AB493" s="17"/>
      <c r="AC493" s="17"/>
      <c r="AD493" s="17"/>
      <c r="AE493" s="17"/>
      <c r="AF493" s="17"/>
      <c r="AG493" s="17"/>
      <c r="AH493" s="17"/>
      <c r="AI493" s="17"/>
      <c r="AJ493" s="17"/>
      <c r="AK493" s="17"/>
      <c r="AL493" s="19"/>
      <c r="AM493" s="19"/>
      <c r="AN493" s="19"/>
      <c r="AO493" s="19"/>
    </row>
    <row r="494" spans="16:41" ht="15" x14ac:dyDescent="0.25">
      <c r="P494" s="17"/>
      <c r="Q494" s="17"/>
      <c r="S494" s="283"/>
      <c r="T494" s="17"/>
      <c r="U494" s="17"/>
      <c r="X494" s="17"/>
      <c r="Y494" s="17"/>
      <c r="Z494" s="17"/>
      <c r="AA494" s="17"/>
      <c r="AB494" s="17"/>
      <c r="AC494" s="17"/>
      <c r="AD494" s="17"/>
      <c r="AE494" s="17"/>
      <c r="AF494" s="17"/>
      <c r="AG494" s="17"/>
      <c r="AH494" s="17"/>
      <c r="AI494" s="17"/>
      <c r="AJ494" s="17"/>
      <c r="AK494" s="17"/>
      <c r="AL494" s="19"/>
      <c r="AM494" s="19"/>
      <c r="AN494" s="19"/>
      <c r="AO494" s="19"/>
    </row>
    <row r="495" spans="16:41" x14ac:dyDescent="0.2">
      <c r="P495" s="17"/>
      <c r="Q495" s="17"/>
      <c r="R495" s="17"/>
      <c r="S495" s="17"/>
      <c r="T495" s="17"/>
      <c r="U495" s="17"/>
      <c r="V495" s="17"/>
      <c r="W495" s="17"/>
      <c r="X495" s="17"/>
      <c r="Y495" s="17"/>
      <c r="Z495" s="17"/>
      <c r="AA495" s="17"/>
      <c r="AB495" s="17"/>
      <c r="AC495" s="17"/>
      <c r="AD495" s="17"/>
      <c r="AE495" s="17"/>
      <c r="AF495" s="17"/>
      <c r="AG495" s="17"/>
      <c r="AH495" s="17"/>
      <c r="AI495" s="17"/>
      <c r="AJ495" s="17"/>
      <c r="AK495" s="17"/>
      <c r="AL495" s="19"/>
      <c r="AM495" s="19"/>
      <c r="AN495" s="19"/>
      <c r="AO495" s="19"/>
    </row>
    <row r="496" spans="16:41" x14ac:dyDescent="0.2">
      <c r="P496" s="17"/>
      <c r="Q496" s="17"/>
      <c r="R496" s="17"/>
      <c r="S496" s="17"/>
      <c r="T496" s="17"/>
      <c r="U496" s="17"/>
      <c r="V496" s="17"/>
      <c r="W496" s="17"/>
      <c r="X496" s="17"/>
      <c r="Y496" s="17"/>
      <c r="Z496" s="17"/>
      <c r="AA496" s="17"/>
      <c r="AB496" s="17"/>
      <c r="AC496" s="17"/>
      <c r="AD496" s="17"/>
      <c r="AE496" s="17"/>
      <c r="AF496" s="17"/>
      <c r="AG496" s="17"/>
      <c r="AH496" s="17"/>
      <c r="AI496" s="17"/>
      <c r="AJ496" s="17"/>
      <c r="AK496" s="17"/>
      <c r="AL496" s="19"/>
      <c r="AM496" s="19"/>
      <c r="AN496" s="19"/>
      <c r="AO496" s="19"/>
    </row>
    <row r="497" spans="16:41" x14ac:dyDescent="0.2">
      <c r="P497" s="17"/>
      <c r="Q497" s="17"/>
      <c r="R497" s="17"/>
      <c r="S497" s="17"/>
      <c r="T497" s="17"/>
      <c r="U497" s="17"/>
      <c r="V497" s="17"/>
      <c r="W497" s="17"/>
      <c r="X497" s="17"/>
      <c r="Y497" s="17"/>
      <c r="Z497" s="17"/>
      <c r="AA497" s="17"/>
      <c r="AB497" s="17"/>
      <c r="AC497" s="17"/>
      <c r="AD497" s="17"/>
      <c r="AE497" s="17"/>
      <c r="AF497" s="17"/>
      <c r="AG497" s="17"/>
      <c r="AH497" s="17"/>
      <c r="AI497" s="17"/>
      <c r="AJ497" s="17"/>
      <c r="AK497" s="17"/>
      <c r="AL497" s="19"/>
      <c r="AM497" s="19"/>
      <c r="AN497" s="19"/>
      <c r="AO497" s="19"/>
    </row>
    <row r="498" spans="16:41" x14ac:dyDescent="0.2">
      <c r="P498" s="17"/>
      <c r="Q498" s="17"/>
      <c r="R498" s="17"/>
      <c r="S498" s="17"/>
      <c r="T498" s="17"/>
      <c r="U498" s="17"/>
      <c r="V498" s="17"/>
      <c r="W498" s="17"/>
      <c r="X498" s="17"/>
      <c r="Y498" s="17"/>
      <c r="Z498" s="17"/>
      <c r="AA498" s="17"/>
      <c r="AB498" s="17"/>
      <c r="AC498" s="17"/>
      <c r="AD498" s="17"/>
      <c r="AE498" s="17"/>
      <c r="AF498" s="17"/>
      <c r="AG498" s="17"/>
      <c r="AH498" s="17"/>
      <c r="AI498" s="17"/>
      <c r="AJ498" s="17"/>
      <c r="AK498" s="17"/>
      <c r="AL498" s="19"/>
      <c r="AM498" s="19"/>
      <c r="AN498" s="19"/>
      <c r="AO498" s="19"/>
    </row>
    <row r="499" spans="16:41" x14ac:dyDescent="0.2">
      <c r="P499" s="17"/>
      <c r="Q499" s="17"/>
      <c r="R499" s="17"/>
      <c r="S499" s="17"/>
      <c r="T499" s="17"/>
      <c r="U499" s="17"/>
      <c r="V499" s="17"/>
      <c r="W499" s="17"/>
      <c r="X499" s="17"/>
      <c r="Y499" s="17"/>
      <c r="Z499" s="17"/>
      <c r="AA499" s="17"/>
      <c r="AB499" s="17"/>
      <c r="AC499" s="17"/>
      <c r="AD499" s="17"/>
      <c r="AE499" s="17"/>
      <c r="AF499" s="17"/>
      <c r="AG499" s="17"/>
      <c r="AH499" s="17"/>
      <c r="AI499" s="17"/>
      <c r="AJ499" s="17"/>
      <c r="AK499" s="17"/>
      <c r="AL499" s="19"/>
      <c r="AM499" s="19"/>
      <c r="AN499" s="19"/>
      <c r="AO499" s="19"/>
    </row>
    <row r="500" spans="16:41" x14ac:dyDescent="0.2">
      <c r="P500" s="17"/>
      <c r="Q500" s="17"/>
      <c r="R500" s="17"/>
      <c r="S500" s="17"/>
      <c r="T500" s="17"/>
      <c r="U500" s="17"/>
      <c r="V500" s="17"/>
      <c r="W500" s="17"/>
      <c r="X500" s="17"/>
      <c r="Y500" s="17"/>
      <c r="Z500" s="17"/>
      <c r="AA500" s="17"/>
      <c r="AB500" s="17"/>
      <c r="AC500" s="17"/>
      <c r="AD500" s="17"/>
      <c r="AE500" s="17"/>
      <c r="AF500" s="17"/>
      <c r="AG500" s="17"/>
      <c r="AH500" s="17"/>
      <c r="AI500" s="17"/>
      <c r="AJ500" s="17"/>
      <c r="AK500" s="17"/>
      <c r="AL500" s="19"/>
      <c r="AM500" s="19"/>
      <c r="AN500" s="19"/>
      <c r="AO500" s="19"/>
    </row>
    <row r="501" spans="16:41" x14ac:dyDescent="0.2">
      <c r="P501" s="17"/>
      <c r="Q501" s="17"/>
      <c r="R501" s="17"/>
      <c r="S501" s="17"/>
      <c r="T501" s="17"/>
      <c r="U501" s="17"/>
      <c r="V501" s="17"/>
      <c r="W501" s="17"/>
      <c r="X501" s="17"/>
      <c r="Y501" s="17"/>
      <c r="Z501" s="17"/>
      <c r="AA501" s="17"/>
      <c r="AB501" s="17"/>
      <c r="AC501" s="17"/>
      <c r="AD501" s="17"/>
      <c r="AE501" s="17"/>
      <c r="AF501" s="17"/>
      <c r="AG501" s="17"/>
      <c r="AH501" s="17"/>
      <c r="AI501" s="17"/>
      <c r="AJ501" s="17"/>
      <c r="AK501" s="17"/>
      <c r="AL501" s="19"/>
      <c r="AM501" s="19"/>
      <c r="AN501" s="19"/>
      <c r="AO501" s="19"/>
    </row>
    <row r="502" spans="16:41" x14ac:dyDescent="0.2">
      <c r="P502" s="17"/>
      <c r="Q502" s="17"/>
      <c r="R502" s="17"/>
      <c r="S502" s="17"/>
      <c r="T502" s="17"/>
      <c r="U502" s="17"/>
      <c r="V502" s="17"/>
      <c r="W502" s="17"/>
      <c r="X502" s="17"/>
      <c r="Y502" s="17"/>
      <c r="Z502" s="17"/>
      <c r="AA502" s="17"/>
      <c r="AB502" s="17"/>
      <c r="AC502" s="17"/>
      <c r="AD502" s="17"/>
      <c r="AE502" s="17"/>
      <c r="AF502" s="17"/>
      <c r="AG502" s="17"/>
      <c r="AH502" s="17"/>
      <c r="AI502" s="17"/>
      <c r="AJ502" s="17"/>
      <c r="AK502" s="17"/>
      <c r="AL502" s="19"/>
      <c r="AM502" s="19"/>
      <c r="AN502" s="19"/>
      <c r="AO502" s="19"/>
    </row>
    <row r="503" spans="16:41" x14ac:dyDescent="0.2">
      <c r="P503" s="17"/>
      <c r="Q503" s="17"/>
      <c r="R503" s="17"/>
      <c r="S503" s="17"/>
      <c r="T503" s="17"/>
      <c r="U503" s="17"/>
      <c r="V503" s="17"/>
      <c r="W503" s="17"/>
      <c r="X503" s="17"/>
      <c r="Y503" s="17"/>
      <c r="Z503" s="17"/>
      <c r="AA503" s="17"/>
      <c r="AB503" s="17"/>
      <c r="AC503" s="17"/>
      <c r="AD503" s="17"/>
      <c r="AE503" s="17"/>
      <c r="AF503" s="17"/>
      <c r="AG503" s="17"/>
      <c r="AH503" s="17"/>
      <c r="AI503" s="17"/>
      <c r="AJ503" s="17"/>
      <c r="AK503" s="17"/>
      <c r="AL503" s="19"/>
      <c r="AM503" s="19"/>
      <c r="AN503" s="19"/>
      <c r="AO503" s="19"/>
    </row>
    <row r="504" spans="16:41" x14ac:dyDescent="0.2">
      <c r="P504" s="17"/>
      <c r="Q504" s="17"/>
      <c r="R504" s="17"/>
      <c r="S504" s="17"/>
      <c r="T504" s="17"/>
      <c r="U504" s="17"/>
      <c r="V504" s="17"/>
      <c r="W504" s="17"/>
      <c r="X504" s="17"/>
      <c r="Y504" s="17"/>
      <c r="Z504" s="17"/>
      <c r="AA504" s="17"/>
      <c r="AB504" s="17"/>
      <c r="AC504" s="17"/>
      <c r="AD504" s="17"/>
      <c r="AE504" s="17"/>
      <c r="AF504" s="17"/>
      <c r="AG504" s="17"/>
      <c r="AH504" s="17"/>
      <c r="AI504" s="17"/>
      <c r="AJ504" s="17"/>
      <c r="AK504" s="17"/>
      <c r="AL504" s="19"/>
      <c r="AM504" s="19"/>
      <c r="AN504" s="19"/>
      <c r="AO504" s="19"/>
    </row>
    <row r="505" spans="16:41" x14ac:dyDescent="0.2">
      <c r="P505" s="17"/>
      <c r="Q505" s="17"/>
      <c r="R505" s="17"/>
      <c r="S505" s="17"/>
      <c r="T505" s="17"/>
      <c r="U505" s="17"/>
      <c r="V505" s="17"/>
      <c r="W505" s="17"/>
      <c r="X505" s="17"/>
      <c r="Y505" s="17"/>
      <c r="Z505" s="17"/>
      <c r="AA505" s="17"/>
      <c r="AB505" s="17"/>
      <c r="AC505" s="17"/>
      <c r="AD505" s="17"/>
      <c r="AE505" s="17"/>
      <c r="AF505" s="17"/>
      <c r="AG505" s="17"/>
      <c r="AH505" s="17"/>
      <c r="AI505" s="17"/>
      <c r="AJ505" s="17"/>
      <c r="AK505" s="17"/>
      <c r="AL505" s="19"/>
      <c r="AM505" s="19"/>
      <c r="AN505" s="19"/>
      <c r="AO505" s="19"/>
    </row>
    <row r="506" spans="16:41" x14ac:dyDescent="0.2">
      <c r="P506" s="17"/>
      <c r="Q506" s="17"/>
      <c r="R506" s="17"/>
      <c r="S506" s="17"/>
      <c r="T506" s="17"/>
      <c r="U506" s="17"/>
      <c r="V506" s="17"/>
      <c r="W506" s="17"/>
      <c r="X506" s="17"/>
      <c r="Y506" s="17"/>
      <c r="Z506" s="17"/>
      <c r="AA506" s="17"/>
      <c r="AB506" s="17"/>
      <c r="AC506" s="17"/>
      <c r="AD506" s="17"/>
      <c r="AE506" s="17"/>
      <c r="AF506" s="17"/>
      <c r="AG506" s="17"/>
      <c r="AH506" s="17"/>
      <c r="AI506" s="17"/>
      <c r="AJ506" s="17"/>
      <c r="AK506" s="17"/>
      <c r="AL506" s="19"/>
      <c r="AM506" s="19"/>
      <c r="AN506" s="19"/>
      <c r="AO506" s="19"/>
    </row>
    <row r="507" spans="16:41" x14ac:dyDescent="0.2"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  <c r="AA507" s="17"/>
      <c r="AB507" s="17"/>
      <c r="AC507" s="17"/>
      <c r="AD507" s="17"/>
      <c r="AE507" s="17"/>
      <c r="AF507" s="17"/>
      <c r="AG507" s="17"/>
      <c r="AH507" s="17"/>
      <c r="AI507" s="17"/>
      <c r="AJ507" s="17"/>
      <c r="AK507" s="17"/>
      <c r="AL507" s="19"/>
      <c r="AM507" s="19"/>
      <c r="AN507" s="19"/>
      <c r="AO507" s="19"/>
    </row>
    <row r="508" spans="16:41" x14ac:dyDescent="0.2">
      <c r="P508" s="17"/>
      <c r="Q508" s="17"/>
      <c r="R508" s="17"/>
      <c r="S508" s="17"/>
      <c r="T508" s="17"/>
      <c r="U508" s="17"/>
      <c r="V508" s="17"/>
      <c r="W508" s="17"/>
      <c r="X508" s="17"/>
      <c r="Y508" s="17"/>
      <c r="Z508" s="17"/>
      <c r="AA508" s="17"/>
      <c r="AB508" s="17"/>
      <c r="AC508" s="17"/>
      <c r="AD508" s="17"/>
      <c r="AE508" s="17"/>
      <c r="AF508" s="17"/>
      <c r="AG508" s="17"/>
      <c r="AH508" s="17"/>
      <c r="AI508" s="17"/>
      <c r="AJ508" s="17"/>
      <c r="AK508" s="17"/>
      <c r="AL508" s="19"/>
      <c r="AM508" s="19"/>
      <c r="AN508" s="19"/>
      <c r="AO508" s="19"/>
    </row>
    <row r="509" spans="16:41" x14ac:dyDescent="0.2">
      <c r="P509" s="17"/>
      <c r="Q509" s="17"/>
      <c r="R509" s="17"/>
      <c r="S509" s="17"/>
      <c r="T509" s="17"/>
      <c r="U509" s="17"/>
      <c r="V509" s="17"/>
      <c r="W509" s="17"/>
      <c r="X509" s="17"/>
      <c r="Y509" s="17"/>
      <c r="Z509" s="17"/>
      <c r="AA509" s="17"/>
      <c r="AB509" s="17"/>
      <c r="AC509" s="17"/>
      <c r="AD509" s="17"/>
      <c r="AE509" s="17"/>
      <c r="AF509" s="17"/>
      <c r="AG509" s="17"/>
      <c r="AH509" s="17"/>
      <c r="AI509" s="17"/>
      <c r="AJ509" s="17"/>
      <c r="AK509" s="17"/>
      <c r="AL509" s="19"/>
      <c r="AM509" s="19"/>
      <c r="AN509" s="19"/>
      <c r="AO509" s="19"/>
    </row>
    <row r="510" spans="16:41" x14ac:dyDescent="0.2">
      <c r="P510" s="17"/>
      <c r="Q510" s="17"/>
      <c r="R510" s="17"/>
      <c r="S510" s="17"/>
      <c r="T510" s="17"/>
      <c r="U510" s="17"/>
      <c r="V510" s="17"/>
      <c r="W510" s="17"/>
      <c r="X510" s="17"/>
      <c r="Y510" s="17"/>
      <c r="Z510" s="17"/>
      <c r="AA510" s="17"/>
      <c r="AB510" s="17"/>
      <c r="AC510" s="17"/>
      <c r="AD510" s="17"/>
      <c r="AE510" s="17"/>
      <c r="AF510" s="17"/>
      <c r="AG510" s="17"/>
      <c r="AH510" s="17"/>
      <c r="AI510" s="17"/>
      <c r="AJ510" s="17"/>
      <c r="AK510" s="17"/>
      <c r="AL510" s="19"/>
      <c r="AM510" s="19"/>
      <c r="AN510" s="19"/>
      <c r="AO510" s="19"/>
    </row>
    <row r="511" spans="16:41" x14ac:dyDescent="0.2">
      <c r="P511" s="17"/>
      <c r="Q511" s="17"/>
      <c r="R511" s="17"/>
      <c r="S511" s="17"/>
      <c r="T511" s="17"/>
      <c r="U511" s="17"/>
      <c r="V511" s="17"/>
      <c r="W511" s="17"/>
      <c r="X511" s="17"/>
      <c r="Y511" s="17"/>
      <c r="Z511" s="17"/>
      <c r="AA511" s="17"/>
      <c r="AB511" s="17"/>
      <c r="AC511" s="17"/>
      <c r="AD511" s="17"/>
      <c r="AE511" s="17"/>
      <c r="AF511" s="17"/>
      <c r="AG511" s="17"/>
      <c r="AH511" s="17"/>
      <c r="AI511" s="17"/>
      <c r="AJ511" s="17"/>
      <c r="AK511" s="17"/>
      <c r="AL511" s="19"/>
      <c r="AM511" s="19"/>
      <c r="AN511" s="19"/>
      <c r="AO511" s="19"/>
    </row>
    <row r="512" spans="16:41" x14ac:dyDescent="0.2">
      <c r="P512" s="17"/>
      <c r="Q512" s="17"/>
      <c r="R512" s="17"/>
      <c r="S512" s="17"/>
      <c r="T512" s="17"/>
      <c r="U512" s="17"/>
      <c r="V512" s="17"/>
      <c r="W512" s="17"/>
      <c r="X512" s="17"/>
      <c r="Y512" s="17"/>
      <c r="Z512" s="17"/>
      <c r="AA512" s="17"/>
      <c r="AB512" s="17"/>
      <c r="AC512" s="17"/>
      <c r="AD512" s="17"/>
      <c r="AE512" s="17"/>
      <c r="AF512" s="17"/>
      <c r="AG512" s="17"/>
      <c r="AH512" s="17"/>
      <c r="AI512" s="17"/>
      <c r="AJ512" s="17"/>
      <c r="AK512" s="17"/>
      <c r="AL512" s="19"/>
      <c r="AM512" s="19"/>
      <c r="AN512" s="19"/>
      <c r="AO512" s="19"/>
    </row>
    <row r="513" spans="16:41" x14ac:dyDescent="0.2">
      <c r="P513" s="17"/>
      <c r="Q513" s="17"/>
      <c r="R513" s="17"/>
      <c r="S513" s="17"/>
      <c r="T513" s="17"/>
      <c r="U513" s="17"/>
      <c r="V513" s="17"/>
      <c r="W513" s="17"/>
      <c r="X513" s="17"/>
      <c r="Y513" s="17"/>
      <c r="Z513" s="17"/>
      <c r="AA513" s="17"/>
      <c r="AB513" s="17"/>
      <c r="AC513" s="17"/>
      <c r="AD513" s="17"/>
      <c r="AE513" s="17"/>
      <c r="AF513" s="17"/>
      <c r="AG513" s="17"/>
      <c r="AH513" s="17"/>
      <c r="AI513" s="17"/>
      <c r="AJ513" s="17"/>
      <c r="AK513" s="17"/>
      <c r="AL513" s="19"/>
      <c r="AM513" s="19"/>
      <c r="AN513" s="19"/>
      <c r="AO513" s="19"/>
    </row>
    <row r="514" spans="16:41" x14ac:dyDescent="0.2">
      <c r="P514" s="17"/>
      <c r="Q514" s="17"/>
      <c r="R514" s="17"/>
      <c r="S514" s="17"/>
      <c r="T514" s="17"/>
      <c r="U514" s="17"/>
      <c r="V514" s="17"/>
      <c r="W514" s="17"/>
      <c r="X514" s="17"/>
      <c r="Y514" s="17"/>
      <c r="Z514" s="17"/>
      <c r="AA514" s="17"/>
      <c r="AB514" s="17"/>
      <c r="AC514" s="17"/>
      <c r="AD514" s="17"/>
      <c r="AE514" s="17"/>
      <c r="AF514" s="17"/>
      <c r="AG514" s="17"/>
      <c r="AH514" s="17"/>
      <c r="AI514" s="17"/>
      <c r="AJ514" s="17"/>
      <c r="AK514" s="17"/>
      <c r="AL514" s="19"/>
      <c r="AM514" s="19"/>
      <c r="AN514" s="19"/>
      <c r="AO514" s="19"/>
    </row>
    <row r="515" spans="16:41" x14ac:dyDescent="0.2">
      <c r="P515" s="17"/>
      <c r="Q515" s="17"/>
      <c r="R515" s="17"/>
      <c r="S515" s="17"/>
      <c r="T515" s="17"/>
      <c r="U515" s="17"/>
      <c r="V515" s="17"/>
      <c r="W515" s="17"/>
      <c r="X515" s="17"/>
      <c r="Y515" s="17"/>
      <c r="Z515" s="17"/>
      <c r="AA515" s="17"/>
      <c r="AB515" s="17"/>
      <c r="AC515" s="17"/>
      <c r="AD515" s="17"/>
      <c r="AE515" s="17"/>
      <c r="AF515" s="17"/>
      <c r="AG515" s="17"/>
      <c r="AH515" s="17"/>
      <c r="AI515" s="17"/>
      <c r="AJ515" s="17"/>
      <c r="AK515" s="17"/>
      <c r="AL515" s="19"/>
      <c r="AM515" s="19"/>
      <c r="AN515" s="19"/>
      <c r="AO515" s="19"/>
    </row>
    <row r="516" spans="16:41" x14ac:dyDescent="0.2">
      <c r="P516" s="17"/>
      <c r="Q516" s="17"/>
      <c r="R516" s="17"/>
      <c r="S516" s="17"/>
      <c r="T516" s="17"/>
      <c r="U516" s="17"/>
      <c r="V516" s="17"/>
      <c r="W516" s="17"/>
      <c r="X516" s="17"/>
      <c r="Y516" s="17"/>
      <c r="Z516" s="17"/>
      <c r="AA516" s="17"/>
      <c r="AB516" s="17"/>
      <c r="AC516" s="17"/>
      <c r="AD516" s="17"/>
      <c r="AE516" s="17"/>
      <c r="AF516" s="17"/>
      <c r="AG516" s="17"/>
      <c r="AH516" s="17"/>
      <c r="AI516" s="17"/>
      <c r="AJ516" s="17"/>
      <c r="AK516" s="17"/>
      <c r="AL516" s="19"/>
      <c r="AM516" s="19"/>
      <c r="AN516" s="19"/>
      <c r="AO516" s="19"/>
    </row>
    <row r="517" spans="16:41" x14ac:dyDescent="0.2">
      <c r="P517" s="17"/>
      <c r="Q517" s="17"/>
      <c r="R517" s="17"/>
      <c r="S517" s="17"/>
      <c r="T517" s="17"/>
      <c r="U517" s="17"/>
      <c r="V517" s="17"/>
      <c r="W517" s="17"/>
      <c r="X517" s="17"/>
      <c r="Y517" s="17"/>
      <c r="Z517" s="17"/>
      <c r="AA517" s="17"/>
      <c r="AB517" s="17"/>
      <c r="AC517" s="17"/>
      <c r="AD517" s="17"/>
      <c r="AE517" s="17"/>
      <c r="AF517" s="17"/>
      <c r="AG517" s="17"/>
      <c r="AH517" s="17"/>
      <c r="AI517" s="17"/>
      <c r="AJ517" s="17"/>
      <c r="AK517" s="17"/>
      <c r="AL517" s="19"/>
      <c r="AM517" s="19"/>
      <c r="AN517" s="19"/>
      <c r="AO517" s="19"/>
    </row>
    <row r="518" spans="16:41" x14ac:dyDescent="0.2">
      <c r="P518" s="17"/>
      <c r="Q518" s="17"/>
      <c r="R518" s="17"/>
      <c r="S518" s="17"/>
      <c r="T518" s="17"/>
      <c r="U518" s="17"/>
      <c r="V518" s="17"/>
      <c r="W518" s="17"/>
      <c r="X518" s="17"/>
      <c r="Y518" s="17"/>
      <c r="Z518" s="17"/>
      <c r="AA518" s="17"/>
      <c r="AB518" s="17"/>
      <c r="AC518" s="17"/>
      <c r="AD518" s="17"/>
      <c r="AE518" s="17"/>
      <c r="AF518" s="17"/>
      <c r="AG518" s="17"/>
      <c r="AH518" s="17"/>
      <c r="AI518" s="17"/>
      <c r="AJ518" s="17"/>
      <c r="AK518" s="17"/>
      <c r="AL518" s="19"/>
      <c r="AM518" s="19"/>
      <c r="AN518" s="19"/>
      <c r="AO518" s="19"/>
    </row>
    <row r="519" spans="16:41" x14ac:dyDescent="0.2">
      <c r="P519" s="17"/>
      <c r="Q519" s="17"/>
      <c r="R519" s="17"/>
      <c r="S519" s="17"/>
      <c r="T519" s="17"/>
      <c r="U519" s="17"/>
      <c r="V519" s="17"/>
      <c r="W519" s="17"/>
      <c r="X519" s="17"/>
      <c r="Y519" s="17"/>
      <c r="Z519" s="17"/>
      <c r="AA519" s="17"/>
      <c r="AB519" s="17"/>
      <c r="AC519" s="17"/>
      <c r="AD519" s="17"/>
      <c r="AE519" s="17"/>
      <c r="AF519" s="17"/>
      <c r="AG519" s="17"/>
      <c r="AH519" s="17"/>
      <c r="AI519" s="17"/>
      <c r="AJ519" s="17"/>
      <c r="AK519" s="17"/>
      <c r="AL519" s="19"/>
      <c r="AM519" s="19"/>
      <c r="AN519" s="19"/>
      <c r="AO519" s="19"/>
    </row>
    <row r="520" spans="16:41" x14ac:dyDescent="0.2">
      <c r="P520" s="17"/>
      <c r="Q520" s="17"/>
      <c r="R520" s="17"/>
      <c r="S520" s="17"/>
      <c r="T520" s="17"/>
      <c r="U520" s="17"/>
      <c r="V520" s="17"/>
      <c r="W520" s="17"/>
      <c r="X520" s="17"/>
      <c r="Y520" s="17"/>
      <c r="Z520" s="17"/>
      <c r="AA520" s="17"/>
      <c r="AB520" s="17"/>
      <c r="AC520" s="17"/>
      <c r="AD520" s="17"/>
      <c r="AE520" s="17"/>
      <c r="AF520" s="17"/>
      <c r="AG520" s="17"/>
      <c r="AH520" s="17"/>
      <c r="AI520" s="17"/>
      <c r="AJ520" s="17"/>
      <c r="AK520" s="17"/>
      <c r="AL520" s="19"/>
      <c r="AM520" s="19"/>
      <c r="AN520" s="19"/>
      <c r="AO520" s="19"/>
    </row>
    <row r="521" spans="16:41" x14ac:dyDescent="0.2">
      <c r="P521" s="17"/>
      <c r="Q521" s="17"/>
      <c r="R521" s="17"/>
      <c r="S521" s="17"/>
      <c r="T521" s="17"/>
      <c r="U521" s="17"/>
      <c r="V521" s="17"/>
      <c r="W521" s="17"/>
      <c r="X521" s="17"/>
      <c r="Y521" s="17"/>
      <c r="Z521" s="17"/>
      <c r="AA521" s="17"/>
      <c r="AB521" s="17"/>
      <c r="AC521" s="17"/>
      <c r="AD521" s="17"/>
      <c r="AE521" s="17"/>
      <c r="AF521" s="17"/>
      <c r="AG521" s="17"/>
      <c r="AH521" s="17"/>
      <c r="AI521" s="17"/>
      <c r="AJ521" s="17"/>
      <c r="AK521" s="17"/>
      <c r="AL521" s="19"/>
      <c r="AM521" s="19"/>
      <c r="AN521" s="19"/>
      <c r="AO521" s="19"/>
    </row>
    <row r="522" spans="16:41" x14ac:dyDescent="0.2">
      <c r="P522" s="17"/>
      <c r="Q522" s="17"/>
      <c r="R522" s="17"/>
      <c r="S522" s="17"/>
      <c r="T522" s="17"/>
      <c r="U522" s="17"/>
      <c r="V522" s="17"/>
      <c r="W522" s="17"/>
      <c r="X522" s="17"/>
      <c r="Y522" s="17"/>
      <c r="Z522" s="17"/>
      <c r="AA522" s="17"/>
      <c r="AB522" s="17"/>
      <c r="AC522" s="17"/>
      <c r="AD522" s="17"/>
      <c r="AE522" s="17"/>
      <c r="AF522" s="17"/>
      <c r="AG522" s="17"/>
      <c r="AH522" s="17"/>
      <c r="AI522" s="17"/>
      <c r="AJ522" s="17"/>
      <c r="AK522" s="17"/>
      <c r="AL522" s="19"/>
      <c r="AM522" s="19"/>
      <c r="AN522" s="19"/>
      <c r="AO522" s="19"/>
    </row>
    <row r="523" spans="16:41" x14ac:dyDescent="0.2">
      <c r="P523" s="17"/>
      <c r="Q523" s="17"/>
      <c r="R523" s="17"/>
      <c r="S523" s="17"/>
      <c r="T523" s="17"/>
      <c r="U523" s="17"/>
      <c r="V523" s="17"/>
      <c r="W523" s="17"/>
      <c r="X523" s="17"/>
      <c r="Y523" s="17"/>
      <c r="Z523" s="17"/>
      <c r="AA523" s="17"/>
      <c r="AB523" s="17"/>
      <c r="AC523" s="17"/>
      <c r="AD523" s="17"/>
      <c r="AE523" s="17"/>
      <c r="AF523" s="17"/>
      <c r="AG523" s="17"/>
      <c r="AH523" s="17"/>
      <c r="AI523" s="17"/>
      <c r="AJ523" s="17"/>
      <c r="AK523" s="17"/>
      <c r="AL523" s="19"/>
      <c r="AM523" s="19"/>
      <c r="AN523" s="19"/>
      <c r="AO523" s="19"/>
    </row>
    <row r="524" spans="16:41" x14ac:dyDescent="0.2">
      <c r="P524" s="17"/>
      <c r="Q524" s="17"/>
      <c r="R524" s="17"/>
      <c r="S524" s="17"/>
      <c r="T524" s="17"/>
      <c r="U524" s="17"/>
      <c r="V524" s="17"/>
      <c r="W524" s="17"/>
      <c r="X524" s="17"/>
      <c r="Y524" s="17"/>
      <c r="Z524" s="17"/>
      <c r="AA524" s="17"/>
      <c r="AB524" s="17"/>
      <c r="AC524" s="17"/>
      <c r="AD524" s="17"/>
      <c r="AE524" s="17"/>
      <c r="AF524" s="17"/>
      <c r="AG524" s="17"/>
      <c r="AH524" s="17"/>
      <c r="AI524" s="17"/>
      <c r="AJ524" s="17"/>
      <c r="AK524" s="17"/>
      <c r="AL524" s="19"/>
      <c r="AM524" s="19"/>
      <c r="AN524" s="19"/>
      <c r="AO524" s="19"/>
    </row>
    <row r="525" spans="16:41" x14ac:dyDescent="0.2">
      <c r="P525" s="17"/>
      <c r="Q525" s="17"/>
      <c r="R525" s="17"/>
      <c r="S525" s="17"/>
      <c r="T525" s="17"/>
      <c r="U525" s="17"/>
      <c r="V525" s="17"/>
      <c r="W525" s="17"/>
      <c r="X525" s="17"/>
      <c r="Y525" s="17"/>
      <c r="Z525" s="17"/>
      <c r="AA525" s="17"/>
      <c r="AB525" s="17"/>
      <c r="AC525" s="17"/>
      <c r="AD525" s="17"/>
      <c r="AE525" s="17"/>
      <c r="AF525" s="17"/>
      <c r="AG525" s="17"/>
      <c r="AH525" s="17"/>
      <c r="AI525" s="17"/>
      <c r="AJ525" s="17"/>
      <c r="AK525" s="17"/>
      <c r="AL525" s="19"/>
      <c r="AM525" s="19"/>
      <c r="AN525" s="19"/>
      <c r="AO525" s="19"/>
    </row>
    <row r="526" spans="16:41" x14ac:dyDescent="0.2">
      <c r="P526" s="17"/>
      <c r="Q526" s="17"/>
      <c r="R526" s="17"/>
      <c r="S526" s="17"/>
      <c r="T526" s="17"/>
      <c r="U526" s="17"/>
      <c r="V526" s="17"/>
      <c r="W526" s="17"/>
      <c r="X526" s="17"/>
      <c r="Y526" s="17"/>
      <c r="Z526" s="17"/>
      <c r="AA526" s="17"/>
      <c r="AB526" s="17"/>
      <c r="AC526" s="17"/>
      <c r="AD526" s="17"/>
      <c r="AE526" s="17"/>
      <c r="AF526" s="17"/>
      <c r="AG526" s="17"/>
      <c r="AH526" s="17"/>
      <c r="AI526" s="17"/>
      <c r="AJ526" s="17"/>
      <c r="AK526" s="17"/>
      <c r="AL526" s="19"/>
      <c r="AM526" s="19"/>
      <c r="AN526" s="19"/>
      <c r="AO526" s="19"/>
    </row>
    <row r="527" spans="16:41" x14ac:dyDescent="0.2">
      <c r="P527" s="17"/>
      <c r="Q527" s="17"/>
      <c r="R527" s="17"/>
      <c r="S527" s="17"/>
      <c r="T527" s="17"/>
      <c r="U527" s="17"/>
      <c r="V527" s="17"/>
      <c r="W527" s="17"/>
      <c r="X527" s="17"/>
      <c r="Y527" s="17"/>
      <c r="Z527" s="17"/>
      <c r="AA527" s="17"/>
      <c r="AB527" s="17"/>
      <c r="AC527" s="17"/>
      <c r="AD527" s="17"/>
      <c r="AE527" s="17"/>
      <c r="AF527" s="17"/>
      <c r="AG527" s="17"/>
      <c r="AH527" s="17"/>
      <c r="AI527" s="17"/>
      <c r="AJ527" s="17"/>
      <c r="AK527" s="17"/>
      <c r="AL527" s="19"/>
      <c r="AM527" s="19"/>
      <c r="AN527" s="19"/>
      <c r="AO527" s="19"/>
    </row>
    <row r="528" spans="16:41" x14ac:dyDescent="0.2">
      <c r="P528" s="17"/>
      <c r="Q528" s="17"/>
      <c r="R528" s="17"/>
      <c r="S528" s="17"/>
      <c r="T528" s="17"/>
      <c r="U528" s="17"/>
      <c r="V528" s="17"/>
      <c r="W528" s="17"/>
      <c r="X528" s="17"/>
      <c r="Y528" s="17"/>
      <c r="Z528" s="17"/>
      <c r="AA528" s="17"/>
      <c r="AB528" s="17"/>
      <c r="AC528" s="17"/>
      <c r="AD528" s="17"/>
      <c r="AE528" s="17"/>
      <c r="AF528" s="17"/>
      <c r="AG528" s="17"/>
      <c r="AH528" s="17"/>
      <c r="AI528" s="17"/>
      <c r="AJ528" s="17"/>
      <c r="AK528" s="17"/>
      <c r="AL528" s="19"/>
      <c r="AM528" s="19"/>
      <c r="AN528" s="19"/>
      <c r="AO528" s="19"/>
    </row>
    <row r="529" spans="16:41" x14ac:dyDescent="0.2">
      <c r="P529" s="17"/>
      <c r="Q529" s="17"/>
      <c r="R529" s="17"/>
      <c r="S529" s="17"/>
      <c r="T529" s="17"/>
      <c r="U529" s="17"/>
      <c r="V529" s="17"/>
      <c r="W529" s="17"/>
      <c r="X529" s="17"/>
      <c r="Y529" s="17"/>
      <c r="Z529" s="17"/>
      <c r="AA529" s="17"/>
      <c r="AB529" s="17"/>
      <c r="AC529" s="17"/>
      <c r="AD529" s="17"/>
      <c r="AE529" s="17"/>
      <c r="AF529" s="17"/>
      <c r="AG529" s="17"/>
      <c r="AH529" s="17"/>
      <c r="AI529" s="17"/>
      <c r="AJ529" s="17"/>
      <c r="AK529" s="17"/>
      <c r="AL529" s="19"/>
      <c r="AM529" s="19"/>
      <c r="AN529" s="19"/>
      <c r="AO529" s="19"/>
    </row>
    <row r="530" spans="16:41" x14ac:dyDescent="0.2">
      <c r="P530" s="17"/>
      <c r="Q530" s="17"/>
      <c r="R530" s="17"/>
      <c r="S530" s="17"/>
      <c r="T530" s="17"/>
      <c r="U530" s="17"/>
      <c r="V530" s="17"/>
      <c r="W530" s="17"/>
      <c r="X530" s="17"/>
      <c r="Y530" s="17"/>
      <c r="Z530" s="17"/>
      <c r="AA530" s="17"/>
      <c r="AB530" s="17"/>
      <c r="AC530" s="17"/>
      <c r="AD530" s="17"/>
      <c r="AE530" s="17"/>
      <c r="AF530" s="17"/>
      <c r="AG530" s="17"/>
      <c r="AH530" s="17"/>
      <c r="AI530" s="17"/>
      <c r="AJ530" s="17"/>
      <c r="AK530" s="17"/>
      <c r="AL530" s="19"/>
      <c r="AM530" s="19"/>
      <c r="AN530" s="19"/>
      <c r="AO530" s="19"/>
    </row>
    <row r="531" spans="16:41" x14ac:dyDescent="0.2">
      <c r="P531" s="17"/>
      <c r="Q531" s="17"/>
      <c r="R531" s="17"/>
      <c r="S531" s="17"/>
      <c r="T531" s="17"/>
      <c r="U531" s="17"/>
      <c r="V531" s="17"/>
      <c r="W531" s="17"/>
      <c r="X531" s="17"/>
      <c r="Y531" s="17"/>
      <c r="Z531" s="17"/>
      <c r="AA531" s="17"/>
      <c r="AB531" s="17"/>
      <c r="AC531" s="17"/>
      <c r="AD531" s="17"/>
      <c r="AE531" s="17"/>
      <c r="AF531" s="17"/>
      <c r="AG531" s="17"/>
      <c r="AH531" s="17"/>
      <c r="AI531" s="17"/>
      <c r="AJ531" s="17"/>
      <c r="AK531" s="17"/>
      <c r="AL531" s="19"/>
      <c r="AM531" s="19"/>
      <c r="AN531" s="19"/>
      <c r="AO531" s="19"/>
    </row>
    <row r="532" spans="16:41" x14ac:dyDescent="0.2">
      <c r="P532" s="17"/>
      <c r="Q532" s="17"/>
      <c r="R532" s="17"/>
      <c r="S532" s="17"/>
      <c r="T532" s="17"/>
      <c r="U532" s="17"/>
      <c r="V532" s="17"/>
      <c r="W532" s="17"/>
      <c r="X532" s="17"/>
      <c r="Y532" s="17"/>
      <c r="Z532" s="17"/>
      <c r="AA532" s="17"/>
      <c r="AB532" s="17"/>
      <c r="AC532" s="17"/>
      <c r="AD532" s="17"/>
      <c r="AE532" s="17"/>
      <c r="AF532" s="17"/>
      <c r="AG532" s="17"/>
      <c r="AH532" s="17"/>
      <c r="AI532" s="17"/>
      <c r="AJ532" s="17"/>
      <c r="AK532" s="17"/>
      <c r="AL532" s="19"/>
      <c r="AM532" s="19"/>
      <c r="AN532" s="19"/>
      <c r="AO532" s="19"/>
    </row>
    <row r="533" spans="16:41" x14ac:dyDescent="0.2">
      <c r="P533" s="17"/>
      <c r="Q533" s="17"/>
      <c r="R533" s="17"/>
      <c r="S533" s="17"/>
      <c r="T533" s="17"/>
      <c r="U533" s="17"/>
      <c r="V533" s="17"/>
      <c r="W533" s="17"/>
      <c r="X533" s="17"/>
      <c r="Y533" s="17"/>
      <c r="Z533" s="17"/>
      <c r="AA533" s="17"/>
      <c r="AB533" s="17"/>
      <c r="AC533" s="17"/>
      <c r="AD533" s="17"/>
      <c r="AE533" s="17"/>
      <c r="AF533" s="17"/>
      <c r="AG533" s="17"/>
      <c r="AH533" s="17"/>
      <c r="AI533" s="17"/>
      <c r="AJ533" s="17"/>
      <c r="AK533" s="17"/>
      <c r="AL533" s="19"/>
      <c r="AM533" s="19"/>
      <c r="AN533" s="19"/>
      <c r="AO533" s="19"/>
    </row>
    <row r="534" spans="16:41" x14ac:dyDescent="0.2">
      <c r="P534" s="17"/>
      <c r="Q534" s="17"/>
      <c r="R534" s="17"/>
      <c r="S534" s="17"/>
      <c r="T534" s="17"/>
      <c r="U534" s="17"/>
      <c r="V534" s="17"/>
      <c r="W534" s="17"/>
      <c r="X534" s="17"/>
      <c r="Y534" s="17"/>
      <c r="Z534" s="17"/>
      <c r="AA534" s="17"/>
      <c r="AB534" s="17"/>
      <c r="AC534" s="17"/>
      <c r="AD534" s="17"/>
      <c r="AE534" s="17"/>
      <c r="AF534" s="17"/>
      <c r="AG534" s="17"/>
      <c r="AH534" s="17"/>
      <c r="AI534" s="17"/>
      <c r="AJ534" s="17"/>
      <c r="AK534" s="17"/>
      <c r="AL534" s="19"/>
      <c r="AM534" s="19"/>
      <c r="AN534" s="19"/>
      <c r="AO534" s="19"/>
    </row>
    <row r="535" spans="16:41" x14ac:dyDescent="0.2">
      <c r="P535" s="17"/>
      <c r="Q535" s="17"/>
      <c r="R535" s="17"/>
      <c r="S535" s="17"/>
      <c r="T535" s="17"/>
      <c r="U535" s="17"/>
      <c r="V535" s="17"/>
      <c r="W535" s="17"/>
      <c r="X535" s="17"/>
      <c r="Y535" s="17"/>
      <c r="Z535" s="17"/>
      <c r="AA535" s="17"/>
      <c r="AB535" s="17"/>
      <c r="AC535" s="17"/>
      <c r="AD535" s="17"/>
      <c r="AE535" s="17"/>
      <c r="AF535" s="17"/>
      <c r="AG535" s="17"/>
      <c r="AH535" s="17"/>
      <c r="AI535" s="17"/>
      <c r="AJ535" s="17"/>
      <c r="AK535" s="17"/>
      <c r="AL535" s="19"/>
      <c r="AM535" s="19"/>
      <c r="AN535" s="19"/>
      <c r="AO535" s="19"/>
    </row>
    <row r="536" spans="16:41" x14ac:dyDescent="0.2">
      <c r="P536" s="17"/>
      <c r="Q536" s="17"/>
      <c r="R536" s="17"/>
      <c r="S536" s="17"/>
      <c r="T536" s="17"/>
      <c r="U536" s="17"/>
      <c r="V536" s="17"/>
      <c r="W536" s="17"/>
      <c r="X536" s="17"/>
      <c r="Y536" s="17"/>
      <c r="Z536" s="17"/>
      <c r="AA536" s="17"/>
      <c r="AB536" s="17"/>
      <c r="AC536" s="17"/>
      <c r="AD536" s="17"/>
      <c r="AE536" s="17"/>
      <c r="AF536" s="17"/>
      <c r="AG536" s="17"/>
      <c r="AH536" s="17"/>
      <c r="AI536" s="17"/>
      <c r="AJ536" s="17"/>
      <c r="AK536" s="17"/>
      <c r="AL536" s="19"/>
      <c r="AM536" s="19"/>
      <c r="AN536" s="19"/>
      <c r="AO536" s="19"/>
    </row>
    <row r="537" spans="16:41" x14ac:dyDescent="0.2">
      <c r="P537" s="17"/>
      <c r="Q537" s="17"/>
      <c r="R537" s="17"/>
      <c r="S537" s="17"/>
      <c r="T537" s="17"/>
      <c r="U537" s="17"/>
      <c r="V537" s="17"/>
      <c r="W537" s="17"/>
      <c r="X537" s="17"/>
      <c r="Y537" s="17"/>
      <c r="Z537" s="17"/>
      <c r="AA537" s="17"/>
      <c r="AB537" s="17"/>
      <c r="AC537" s="17"/>
      <c r="AD537" s="17"/>
      <c r="AE537" s="17"/>
      <c r="AF537" s="17"/>
      <c r="AG537" s="17"/>
      <c r="AH537" s="17"/>
      <c r="AI537" s="17"/>
      <c r="AJ537" s="17"/>
      <c r="AK537" s="17"/>
      <c r="AL537" s="19"/>
      <c r="AM537" s="19"/>
      <c r="AN537" s="19"/>
      <c r="AO537" s="19"/>
    </row>
    <row r="538" spans="16:41" x14ac:dyDescent="0.2">
      <c r="P538" s="17"/>
      <c r="Q538" s="17"/>
      <c r="R538" s="17"/>
      <c r="S538" s="17"/>
      <c r="T538" s="17"/>
      <c r="U538" s="17"/>
      <c r="V538" s="17"/>
      <c r="W538" s="17"/>
      <c r="X538" s="17"/>
      <c r="Y538" s="17"/>
      <c r="Z538" s="17"/>
      <c r="AA538" s="17"/>
      <c r="AB538" s="17"/>
      <c r="AC538" s="17"/>
      <c r="AD538" s="17"/>
      <c r="AE538" s="17"/>
      <c r="AF538" s="17"/>
      <c r="AG538" s="17"/>
      <c r="AH538" s="17"/>
      <c r="AI538" s="17"/>
      <c r="AJ538" s="17"/>
      <c r="AK538" s="17"/>
      <c r="AL538" s="19"/>
      <c r="AM538" s="19"/>
      <c r="AN538" s="19"/>
      <c r="AO538" s="19"/>
    </row>
    <row r="539" spans="16:41" x14ac:dyDescent="0.2">
      <c r="P539" s="17"/>
      <c r="Q539" s="17"/>
      <c r="R539" s="17"/>
      <c r="S539" s="17"/>
      <c r="T539" s="17"/>
      <c r="U539" s="17"/>
      <c r="V539" s="17"/>
      <c r="W539" s="17"/>
      <c r="X539" s="17"/>
      <c r="Y539" s="17"/>
      <c r="Z539" s="17"/>
      <c r="AA539" s="17"/>
      <c r="AB539" s="17"/>
      <c r="AC539" s="17"/>
      <c r="AD539" s="17"/>
      <c r="AE539" s="17"/>
      <c r="AF539" s="17"/>
      <c r="AG539" s="17"/>
      <c r="AH539" s="17"/>
      <c r="AI539" s="17"/>
      <c r="AJ539" s="17"/>
      <c r="AK539" s="17"/>
      <c r="AL539" s="19"/>
      <c r="AM539" s="19"/>
      <c r="AN539" s="19"/>
      <c r="AO539" s="19"/>
    </row>
    <row r="540" spans="16:41" x14ac:dyDescent="0.2">
      <c r="P540" s="17"/>
      <c r="Q540" s="17"/>
      <c r="R540" s="17"/>
      <c r="S540" s="17"/>
      <c r="T540" s="17"/>
      <c r="U540" s="17"/>
      <c r="V540" s="17"/>
      <c r="W540" s="17"/>
      <c r="X540" s="17"/>
      <c r="Y540" s="17"/>
      <c r="Z540" s="17"/>
      <c r="AA540" s="17"/>
      <c r="AB540" s="17"/>
      <c r="AC540" s="17"/>
      <c r="AD540" s="17"/>
      <c r="AE540" s="17"/>
      <c r="AF540" s="17"/>
      <c r="AG540" s="17"/>
      <c r="AH540" s="17"/>
      <c r="AI540" s="17"/>
      <c r="AJ540" s="17"/>
      <c r="AK540" s="17"/>
      <c r="AL540" s="19"/>
      <c r="AM540" s="19"/>
      <c r="AN540" s="19"/>
      <c r="AO540" s="19"/>
    </row>
    <row r="541" spans="16:41" x14ac:dyDescent="0.2">
      <c r="P541" s="17"/>
      <c r="Q541" s="17"/>
      <c r="R541" s="17"/>
      <c r="S541" s="17"/>
      <c r="T541" s="17"/>
      <c r="U541" s="17"/>
      <c r="V541" s="17"/>
      <c r="W541" s="17"/>
      <c r="X541" s="17"/>
      <c r="Y541" s="17"/>
      <c r="Z541" s="17"/>
      <c r="AA541" s="17"/>
      <c r="AB541" s="17"/>
      <c r="AC541" s="17"/>
      <c r="AD541" s="17"/>
      <c r="AE541" s="17"/>
      <c r="AF541" s="17"/>
      <c r="AG541" s="17"/>
      <c r="AH541" s="17"/>
      <c r="AI541" s="17"/>
      <c r="AJ541" s="17"/>
      <c r="AK541" s="17"/>
      <c r="AL541" s="19"/>
      <c r="AM541" s="19"/>
      <c r="AN541" s="19"/>
      <c r="AO541" s="19"/>
    </row>
    <row r="542" spans="16:41" x14ac:dyDescent="0.2">
      <c r="P542" s="17"/>
      <c r="Q542" s="17"/>
      <c r="R542" s="17"/>
      <c r="S542" s="17"/>
      <c r="T542" s="17"/>
      <c r="U542" s="17"/>
      <c r="V542" s="17"/>
      <c r="W542" s="17"/>
      <c r="X542" s="17"/>
      <c r="Y542" s="17"/>
      <c r="Z542" s="17"/>
      <c r="AA542" s="17"/>
      <c r="AB542" s="17"/>
      <c r="AC542" s="17"/>
      <c r="AD542" s="17"/>
      <c r="AE542" s="17"/>
      <c r="AF542" s="17"/>
      <c r="AG542" s="17"/>
      <c r="AH542" s="17"/>
      <c r="AI542" s="17"/>
      <c r="AJ542" s="17"/>
      <c r="AK542" s="17"/>
      <c r="AL542" s="19"/>
      <c r="AM542" s="19"/>
      <c r="AN542" s="19"/>
      <c r="AO542" s="19"/>
    </row>
    <row r="543" spans="16:41" x14ac:dyDescent="0.2">
      <c r="P543" s="17"/>
      <c r="Q543" s="17"/>
      <c r="R543" s="17"/>
      <c r="S543" s="17"/>
      <c r="T543" s="17"/>
      <c r="U543" s="17"/>
      <c r="V543" s="17"/>
      <c r="W543" s="17"/>
      <c r="X543" s="17"/>
      <c r="Y543" s="17"/>
      <c r="Z543" s="17"/>
      <c r="AA543" s="17"/>
      <c r="AB543" s="17"/>
      <c r="AC543" s="17"/>
      <c r="AD543" s="17"/>
      <c r="AE543" s="17"/>
      <c r="AF543" s="17"/>
      <c r="AG543" s="17"/>
      <c r="AH543" s="17"/>
      <c r="AI543" s="17"/>
      <c r="AJ543" s="17"/>
      <c r="AK543" s="17"/>
      <c r="AL543" s="19"/>
      <c r="AM543" s="19"/>
      <c r="AN543" s="19"/>
      <c r="AO543" s="19"/>
    </row>
    <row r="544" spans="16:41" x14ac:dyDescent="0.2">
      <c r="P544" s="17"/>
      <c r="Q544" s="17"/>
      <c r="R544" s="17"/>
      <c r="S544" s="17"/>
      <c r="T544" s="17"/>
      <c r="U544" s="17"/>
      <c r="V544" s="17"/>
      <c r="W544" s="17"/>
      <c r="X544" s="17"/>
      <c r="Y544" s="17"/>
      <c r="Z544" s="17"/>
      <c r="AA544" s="17"/>
      <c r="AB544" s="17"/>
      <c r="AC544" s="17"/>
      <c r="AD544" s="17"/>
      <c r="AE544" s="17"/>
      <c r="AF544" s="17"/>
      <c r="AG544" s="17"/>
      <c r="AH544" s="17"/>
      <c r="AI544" s="17"/>
      <c r="AJ544" s="17"/>
      <c r="AK544" s="17"/>
      <c r="AL544" s="19"/>
      <c r="AM544" s="19"/>
      <c r="AN544" s="19"/>
      <c r="AO544" s="19"/>
    </row>
    <row r="545" spans="16:41" x14ac:dyDescent="0.2">
      <c r="P545" s="17"/>
      <c r="Q545" s="17"/>
      <c r="R545" s="17"/>
      <c r="S545" s="17"/>
      <c r="T545" s="17"/>
      <c r="U545" s="17"/>
      <c r="V545" s="17"/>
      <c r="W545" s="17"/>
      <c r="X545" s="17"/>
      <c r="Y545" s="17"/>
      <c r="Z545" s="17"/>
      <c r="AA545" s="17"/>
      <c r="AB545" s="17"/>
      <c r="AC545" s="17"/>
      <c r="AD545" s="17"/>
      <c r="AE545" s="17"/>
      <c r="AF545" s="17"/>
      <c r="AG545" s="17"/>
      <c r="AH545" s="17"/>
      <c r="AI545" s="17"/>
      <c r="AJ545" s="17"/>
      <c r="AK545" s="17"/>
      <c r="AL545" s="19"/>
      <c r="AM545" s="19"/>
      <c r="AN545" s="19"/>
      <c r="AO545" s="19"/>
    </row>
    <row r="546" spans="16:41" x14ac:dyDescent="0.2">
      <c r="P546" s="17"/>
      <c r="Q546" s="17"/>
      <c r="R546" s="17"/>
      <c r="S546" s="17"/>
      <c r="T546" s="17"/>
      <c r="U546" s="17"/>
      <c r="V546" s="17"/>
      <c r="W546" s="17"/>
      <c r="X546" s="17"/>
      <c r="Y546" s="17"/>
      <c r="Z546" s="17"/>
      <c r="AA546" s="17"/>
      <c r="AB546" s="17"/>
      <c r="AC546" s="17"/>
      <c r="AD546" s="17"/>
      <c r="AE546" s="17"/>
      <c r="AF546" s="17"/>
      <c r="AG546" s="17"/>
      <c r="AH546" s="17"/>
      <c r="AI546" s="17"/>
      <c r="AJ546" s="17"/>
      <c r="AK546" s="17"/>
      <c r="AL546" s="19"/>
      <c r="AM546" s="19"/>
      <c r="AN546" s="19"/>
      <c r="AO546" s="19"/>
    </row>
    <row r="547" spans="16:41" x14ac:dyDescent="0.2">
      <c r="P547" s="17"/>
      <c r="Q547" s="17"/>
      <c r="R547" s="17"/>
      <c r="S547" s="17"/>
      <c r="T547" s="17"/>
      <c r="U547" s="17"/>
      <c r="V547" s="17"/>
      <c r="W547" s="17"/>
      <c r="X547" s="17"/>
      <c r="Y547" s="17"/>
      <c r="Z547" s="17"/>
      <c r="AA547" s="17"/>
      <c r="AB547" s="17"/>
      <c r="AC547" s="17"/>
      <c r="AD547" s="17"/>
      <c r="AE547" s="17"/>
      <c r="AF547" s="17"/>
      <c r="AG547" s="17"/>
      <c r="AH547" s="17"/>
      <c r="AI547" s="17"/>
      <c r="AJ547" s="17"/>
      <c r="AK547" s="17"/>
      <c r="AL547" s="19"/>
      <c r="AM547" s="19"/>
      <c r="AN547" s="19"/>
      <c r="AO547" s="19"/>
    </row>
    <row r="548" spans="16:41" x14ac:dyDescent="0.2">
      <c r="P548" s="17"/>
      <c r="Q548" s="17"/>
      <c r="R548" s="17"/>
      <c r="S548" s="17"/>
      <c r="T548" s="17"/>
      <c r="U548" s="17"/>
      <c r="V548" s="17"/>
      <c r="W548" s="17"/>
      <c r="X548" s="17"/>
      <c r="Y548" s="17"/>
      <c r="Z548" s="17"/>
      <c r="AA548" s="17"/>
      <c r="AB548" s="17"/>
      <c r="AC548" s="17"/>
      <c r="AD548" s="17"/>
      <c r="AE548" s="17"/>
      <c r="AF548" s="17"/>
      <c r="AG548" s="17"/>
      <c r="AH548" s="17"/>
      <c r="AI548" s="17"/>
      <c r="AJ548" s="17"/>
      <c r="AK548" s="17"/>
      <c r="AL548" s="19"/>
      <c r="AM548" s="19"/>
      <c r="AN548" s="19"/>
      <c r="AO548" s="19"/>
    </row>
    <row r="549" spans="16:41" x14ac:dyDescent="0.2">
      <c r="P549" s="17"/>
      <c r="Q549" s="17"/>
      <c r="R549" s="17"/>
      <c r="S549" s="17"/>
      <c r="T549" s="17"/>
      <c r="U549" s="17"/>
      <c r="V549" s="17"/>
      <c r="W549" s="17"/>
      <c r="X549" s="17"/>
      <c r="Y549" s="17"/>
      <c r="Z549" s="17"/>
      <c r="AA549" s="17"/>
      <c r="AB549" s="17"/>
      <c r="AC549" s="17"/>
      <c r="AD549" s="17"/>
      <c r="AE549" s="17"/>
      <c r="AF549" s="17"/>
      <c r="AG549" s="17"/>
      <c r="AH549" s="17"/>
      <c r="AI549" s="17"/>
      <c r="AJ549" s="17"/>
      <c r="AK549" s="17"/>
      <c r="AL549" s="19"/>
      <c r="AM549" s="19"/>
      <c r="AN549" s="19"/>
      <c r="AO549" s="19"/>
    </row>
    <row r="550" spans="16:41" x14ac:dyDescent="0.2">
      <c r="P550" s="17"/>
      <c r="Q550" s="17"/>
      <c r="R550" s="17"/>
      <c r="S550" s="17"/>
      <c r="T550" s="17"/>
      <c r="U550" s="17"/>
      <c r="V550" s="17"/>
      <c r="W550" s="17"/>
      <c r="X550" s="17"/>
      <c r="Y550" s="17"/>
      <c r="Z550" s="17"/>
      <c r="AA550" s="17"/>
      <c r="AB550" s="17"/>
      <c r="AC550" s="17"/>
      <c r="AD550" s="17"/>
      <c r="AE550" s="17"/>
      <c r="AF550" s="17"/>
      <c r="AG550" s="17"/>
      <c r="AH550" s="17"/>
      <c r="AI550" s="17"/>
      <c r="AJ550" s="17"/>
      <c r="AK550" s="17"/>
      <c r="AL550" s="19"/>
      <c r="AM550" s="19"/>
      <c r="AN550" s="19"/>
      <c r="AO550" s="19"/>
    </row>
    <row r="551" spans="16:41" x14ac:dyDescent="0.2">
      <c r="P551" s="17"/>
      <c r="Q551" s="17"/>
      <c r="R551" s="17"/>
      <c r="S551" s="17"/>
      <c r="T551" s="17"/>
      <c r="U551" s="17"/>
      <c r="V551" s="17"/>
      <c r="W551" s="17"/>
      <c r="X551" s="17"/>
      <c r="Y551" s="17"/>
      <c r="Z551" s="17"/>
      <c r="AA551" s="17"/>
      <c r="AB551" s="17"/>
      <c r="AC551" s="17"/>
      <c r="AD551" s="17"/>
      <c r="AE551" s="17"/>
      <c r="AF551" s="17"/>
      <c r="AG551" s="17"/>
      <c r="AH551" s="17"/>
      <c r="AI551" s="17"/>
      <c r="AJ551" s="17"/>
      <c r="AK551" s="17"/>
      <c r="AL551" s="19"/>
      <c r="AM551" s="19"/>
      <c r="AN551" s="19"/>
      <c r="AO551" s="19"/>
    </row>
    <row r="552" spans="16:41" x14ac:dyDescent="0.2">
      <c r="P552" s="17"/>
      <c r="Q552" s="17"/>
      <c r="R552" s="17"/>
      <c r="S552" s="17"/>
      <c r="T552" s="17"/>
      <c r="U552" s="17"/>
      <c r="V552" s="17"/>
      <c r="W552" s="17"/>
      <c r="X552" s="17"/>
      <c r="Y552" s="17"/>
      <c r="Z552" s="17"/>
      <c r="AA552" s="17"/>
      <c r="AB552" s="17"/>
      <c r="AC552" s="17"/>
      <c r="AD552" s="17"/>
      <c r="AE552" s="17"/>
      <c r="AF552" s="17"/>
      <c r="AG552" s="17"/>
      <c r="AH552" s="17"/>
      <c r="AI552" s="17"/>
      <c r="AJ552" s="17"/>
      <c r="AK552" s="17"/>
      <c r="AL552" s="19"/>
      <c r="AM552" s="19"/>
      <c r="AN552" s="19"/>
      <c r="AO552" s="19"/>
    </row>
    <row r="553" spans="16:41" x14ac:dyDescent="0.2">
      <c r="P553" s="17"/>
      <c r="Q553" s="17"/>
      <c r="R553" s="17"/>
      <c r="S553" s="17"/>
      <c r="T553" s="17"/>
      <c r="U553" s="17"/>
      <c r="V553" s="17"/>
      <c r="W553" s="17"/>
      <c r="X553" s="17"/>
      <c r="Y553" s="17"/>
      <c r="Z553" s="17"/>
      <c r="AA553" s="17"/>
      <c r="AB553" s="17"/>
      <c r="AC553" s="17"/>
      <c r="AD553" s="17"/>
      <c r="AE553" s="17"/>
      <c r="AF553" s="17"/>
      <c r="AG553" s="17"/>
      <c r="AH553" s="17"/>
      <c r="AI553" s="17"/>
      <c r="AJ553" s="17"/>
      <c r="AK553" s="17"/>
      <c r="AL553" s="19"/>
      <c r="AM553" s="19"/>
      <c r="AN553" s="19"/>
      <c r="AO553" s="19"/>
    </row>
    <row r="554" spans="16:41" x14ac:dyDescent="0.2">
      <c r="P554" s="17"/>
      <c r="Z554" s="17"/>
      <c r="AA554" s="17"/>
      <c r="AB554" s="17"/>
      <c r="AC554" s="17"/>
      <c r="AD554" s="17"/>
      <c r="AE554" s="17"/>
      <c r="AF554" s="17"/>
      <c r="AG554" s="17"/>
      <c r="AH554" s="17"/>
      <c r="AI554" s="17"/>
      <c r="AJ554" s="17"/>
      <c r="AK554" s="17"/>
      <c r="AL554" s="19"/>
      <c r="AM554" s="19"/>
      <c r="AN554" s="19"/>
      <c r="AO554" s="19"/>
    </row>
    <row r="555" spans="16:41" x14ac:dyDescent="0.2">
      <c r="P555" s="17"/>
      <c r="Z555" s="17"/>
      <c r="AA555" s="17"/>
      <c r="AB555" s="17"/>
      <c r="AC555" s="17"/>
      <c r="AD555" s="17"/>
      <c r="AE555" s="17"/>
      <c r="AF555" s="17"/>
      <c r="AG555" s="17"/>
      <c r="AH555" s="17"/>
      <c r="AI555" s="17"/>
      <c r="AJ555" s="17"/>
      <c r="AK555" s="17"/>
      <c r="AL555" s="19"/>
      <c r="AM555" s="19"/>
      <c r="AN555" s="19"/>
      <c r="AO555" s="19"/>
    </row>
    <row r="556" spans="16:41" x14ac:dyDescent="0.2">
      <c r="P556" s="17"/>
      <c r="Z556" s="17"/>
      <c r="AA556" s="17"/>
      <c r="AB556" s="17"/>
      <c r="AC556" s="17"/>
      <c r="AD556" s="17"/>
      <c r="AE556" s="17"/>
      <c r="AF556" s="17"/>
      <c r="AG556" s="17"/>
      <c r="AH556" s="17"/>
      <c r="AI556" s="17"/>
      <c r="AJ556" s="17"/>
      <c r="AK556" s="17"/>
      <c r="AL556" s="19"/>
      <c r="AM556" s="19"/>
      <c r="AN556" s="19"/>
      <c r="AO556" s="19"/>
    </row>
    <row r="557" spans="16:41" x14ac:dyDescent="0.2">
      <c r="P557" s="17"/>
      <c r="Z557" s="17"/>
      <c r="AA557" s="17"/>
      <c r="AB557" s="17"/>
      <c r="AC557" s="17"/>
      <c r="AD557" s="17"/>
      <c r="AE557" s="17"/>
      <c r="AF557" s="17"/>
      <c r="AG557" s="17"/>
      <c r="AH557" s="17"/>
      <c r="AI557" s="17"/>
      <c r="AJ557" s="17"/>
      <c r="AK557" s="17"/>
      <c r="AL557" s="19"/>
      <c r="AM557" s="19"/>
      <c r="AN557" s="19"/>
      <c r="AO557" s="19"/>
    </row>
    <row r="558" spans="16:41" x14ac:dyDescent="0.2">
      <c r="P558" s="17"/>
      <c r="Z558" s="17"/>
      <c r="AA558" s="17"/>
      <c r="AB558" s="17"/>
      <c r="AC558" s="17"/>
      <c r="AD558" s="17"/>
      <c r="AE558" s="17"/>
      <c r="AF558" s="17"/>
      <c r="AG558" s="17"/>
      <c r="AH558" s="17"/>
      <c r="AI558" s="17"/>
      <c r="AJ558" s="17"/>
      <c r="AK558" s="17"/>
      <c r="AL558" s="19"/>
      <c r="AM558" s="19"/>
      <c r="AN558" s="19"/>
      <c r="AO558" s="19"/>
    </row>
    <row r="559" spans="16:41" x14ac:dyDescent="0.2">
      <c r="P559" s="17"/>
      <c r="Z559" s="17"/>
      <c r="AA559" s="17"/>
      <c r="AB559" s="17"/>
      <c r="AC559" s="17"/>
      <c r="AD559" s="17"/>
      <c r="AE559" s="17"/>
      <c r="AF559" s="17"/>
      <c r="AG559" s="17"/>
      <c r="AH559" s="17"/>
      <c r="AI559" s="17"/>
      <c r="AJ559" s="17"/>
      <c r="AK559" s="17"/>
      <c r="AL559" s="19"/>
      <c r="AM559" s="19"/>
      <c r="AN559" s="19"/>
      <c r="AO559" s="19"/>
    </row>
    <row r="560" spans="16:41" x14ac:dyDescent="0.2">
      <c r="P560" s="17"/>
      <c r="Z560" s="17"/>
      <c r="AA560" s="17"/>
      <c r="AB560" s="17"/>
      <c r="AC560" s="17"/>
      <c r="AD560" s="17"/>
      <c r="AE560" s="17"/>
      <c r="AF560" s="17"/>
      <c r="AG560" s="17"/>
      <c r="AH560" s="17"/>
      <c r="AI560" s="17"/>
      <c r="AJ560" s="17"/>
      <c r="AK560" s="17"/>
      <c r="AL560" s="19"/>
      <c r="AM560" s="19"/>
      <c r="AN560" s="19"/>
      <c r="AO560" s="19"/>
    </row>
    <row r="561" spans="16:41" x14ac:dyDescent="0.2">
      <c r="P561" s="17"/>
      <c r="Z561" s="17"/>
      <c r="AA561" s="17"/>
      <c r="AB561" s="17"/>
      <c r="AC561" s="17"/>
      <c r="AD561" s="17"/>
      <c r="AE561" s="17"/>
      <c r="AF561" s="17"/>
      <c r="AG561" s="17"/>
      <c r="AH561" s="17"/>
      <c r="AI561" s="17"/>
      <c r="AJ561" s="17"/>
      <c r="AK561" s="17"/>
      <c r="AL561" s="19"/>
      <c r="AM561" s="19"/>
      <c r="AN561" s="19"/>
      <c r="AO561" s="19"/>
    </row>
    <row r="562" spans="16:41" x14ac:dyDescent="0.2">
      <c r="P562" s="17"/>
      <c r="Z562" s="17"/>
      <c r="AA562" s="17"/>
      <c r="AB562" s="17"/>
      <c r="AC562" s="17"/>
      <c r="AD562" s="17"/>
      <c r="AE562" s="17"/>
      <c r="AF562" s="17"/>
      <c r="AG562" s="17"/>
      <c r="AH562" s="17"/>
      <c r="AI562" s="17"/>
      <c r="AJ562" s="17"/>
      <c r="AK562" s="17"/>
      <c r="AL562" s="19"/>
      <c r="AM562" s="19"/>
      <c r="AN562" s="19"/>
      <c r="AO562" s="19"/>
    </row>
    <row r="563" spans="16:41" x14ac:dyDescent="0.2">
      <c r="P563" s="17"/>
      <c r="Z563" s="17"/>
      <c r="AA563" s="17"/>
      <c r="AB563" s="17"/>
      <c r="AC563" s="17"/>
      <c r="AD563" s="17"/>
      <c r="AE563" s="17"/>
      <c r="AF563" s="17"/>
      <c r="AG563" s="17"/>
      <c r="AH563" s="17"/>
      <c r="AI563" s="17"/>
      <c r="AJ563" s="17"/>
      <c r="AK563" s="17"/>
      <c r="AL563" s="19"/>
      <c r="AM563" s="19"/>
      <c r="AN563" s="19"/>
      <c r="AO563" s="19"/>
    </row>
    <row r="564" spans="16:41" x14ac:dyDescent="0.2">
      <c r="P564" s="17"/>
      <c r="Z564" s="17"/>
      <c r="AA564" s="17"/>
      <c r="AB564" s="17"/>
      <c r="AC564" s="17"/>
      <c r="AD564" s="17"/>
      <c r="AE564" s="17"/>
      <c r="AF564" s="17"/>
      <c r="AG564" s="17"/>
      <c r="AH564" s="17"/>
      <c r="AI564" s="17"/>
      <c r="AJ564" s="17"/>
      <c r="AK564" s="17"/>
      <c r="AL564" s="19"/>
      <c r="AM564" s="19"/>
      <c r="AN564" s="19"/>
      <c r="AO564" s="19"/>
    </row>
    <row r="565" spans="16:41" x14ac:dyDescent="0.2">
      <c r="P565" s="17"/>
      <c r="Z565" s="17"/>
      <c r="AA565" s="17"/>
      <c r="AB565" s="17"/>
      <c r="AC565" s="17"/>
      <c r="AD565" s="17"/>
      <c r="AE565" s="17"/>
      <c r="AF565" s="17"/>
      <c r="AG565" s="17"/>
      <c r="AH565" s="17"/>
      <c r="AI565" s="17"/>
      <c r="AJ565" s="17"/>
      <c r="AK565" s="17"/>
      <c r="AL565" s="19"/>
      <c r="AM565" s="19"/>
      <c r="AN565" s="19"/>
      <c r="AO565" s="19"/>
    </row>
    <row r="566" spans="16:41" x14ac:dyDescent="0.2">
      <c r="P566" s="17"/>
      <c r="Z566" s="17"/>
      <c r="AA566" s="17"/>
      <c r="AB566" s="17"/>
      <c r="AC566" s="17"/>
      <c r="AD566" s="17"/>
      <c r="AE566" s="17"/>
      <c r="AF566" s="17"/>
      <c r="AG566" s="17"/>
      <c r="AH566" s="17"/>
      <c r="AI566" s="17"/>
      <c r="AJ566" s="17"/>
      <c r="AK566" s="17"/>
      <c r="AL566" s="19"/>
      <c r="AM566" s="19"/>
      <c r="AN566" s="19"/>
      <c r="AO566" s="19"/>
    </row>
    <row r="567" spans="16:41" x14ac:dyDescent="0.2">
      <c r="P567" s="17"/>
      <c r="Z567" s="17"/>
      <c r="AA567" s="17"/>
      <c r="AB567" s="17"/>
      <c r="AC567" s="17"/>
      <c r="AD567" s="17"/>
      <c r="AE567" s="17"/>
      <c r="AF567" s="17"/>
      <c r="AG567" s="17"/>
      <c r="AH567" s="17"/>
      <c r="AI567" s="17"/>
      <c r="AJ567" s="17"/>
      <c r="AK567" s="17"/>
      <c r="AL567" s="19"/>
      <c r="AM567" s="19"/>
      <c r="AN567" s="19"/>
      <c r="AO567" s="19"/>
    </row>
    <row r="568" spans="16:41" x14ac:dyDescent="0.2">
      <c r="P568" s="17"/>
      <c r="Z568" s="17"/>
      <c r="AA568" s="17"/>
      <c r="AB568" s="17"/>
      <c r="AC568" s="17"/>
      <c r="AD568" s="17"/>
      <c r="AE568" s="17"/>
      <c r="AF568" s="17"/>
      <c r="AG568" s="17"/>
      <c r="AH568" s="17"/>
      <c r="AI568" s="17"/>
      <c r="AJ568" s="17"/>
      <c r="AK568" s="17"/>
      <c r="AL568" s="19"/>
      <c r="AM568" s="19"/>
      <c r="AN568" s="19"/>
      <c r="AO568" s="19"/>
    </row>
    <row r="569" spans="16:41" x14ac:dyDescent="0.2">
      <c r="P569" s="17"/>
      <c r="Z569" s="17"/>
      <c r="AA569" s="17"/>
      <c r="AB569" s="17"/>
      <c r="AC569" s="17"/>
      <c r="AD569" s="17"/>
      <c r="AE569" s="17"/>
      <c r="AF569" s="17"/>
      <c r="AG569" s="17"/>
      <c r="AH569" s="17"/>
      <c r="AI569" s="17"/>
      <c r="AJ569" s="17"/>
      <c r="AK569" s="17"/>
      <c r="AL569" s="19"/>
      <c r="AM569" s="19"/>
      <c r="AN569" s="19"/>
      <c r="AO569" s="19"/>
    </row>
    <row r="570" spans="16:41" x14ac:dyDescent="0.2">
      <c r="P570" s="17"/>
      <c r="Z570" s="17"/>
      <c r="AA570" s="17"/>
      <c r="AB570" s="17"/>
      <c r="AC570" s="17"/>
      <c r="AD570" s="17"/>
      <c r="AE570" s="17"/>
      <c r="AF570" s="17"/>
      <c r="AG570" s="17"/>
      <c r="AH570" s="17"/>
      <c r="AI570" s="17"/>
      <c r="AJ570" s="17"/>
      <c r="AK570" s="17"/>
      <c r="AL570" s="19"/>
      <c r="AM570" s="19"/>
      <c r="AN570" s="19"/>
      <c r="AO570" s="19"/>
    </row>
    <row r="571" spans="16:41" x14ac:dyDescent="0.2">
      <c r="P571" s="17"/>
      <c r="Z571" s="17"/>
      <c r="AA571" s="17"/>
      <c r="AB571" s="17"/>
      <c r="AC571" s="17"/>
      <c r="AD571" s="17"/>
      <c r="AE571" s="17"/>
      <c r="AF571" s="17"/>
      <c r="AG571" s="17"/>
      <c r="AH571" s="17"/>
      <c r="AI571" s="17"/>
      <c r="AJ571" s="17"/>
      <c r="AK571" s="17"/>
      <c r="AL571" s="19"/>
      <c r="AM571" s="19"/>
      <c r="AN571" s="19"/>
      <c r="AO571" s="19"/>
    </row>
    <row r="572" spans="16:41" x14ac:dyDescent="0.2">
      <c r="P572" s="17"/>
      <c r="Z572" s="17"/>
      <c r="AA572" s="17"/>
      <c r="AB572" s="17"/>
      <c r="AC572" s="17"/>
      <c r="AD572" s="17"/>
      <c r="AE572" s="17"/>
      <c r="AF572" s="17"/>
      <c r="AG572" s="17"/>
      <c r="AH572" s="17"/>
      <c r="AI572" s="17"/>
      <c r="AJ572" s="17"/>
      <c r="AK572" s="17"/>
      <c r="AL572" s="19"/>
      <c r="AM572" s="19"/>
      <c r="AN572" s="19"/>
      <c r="AO572" s="19"/>
    </row>
    <row r="573" spans="16:41" x14ac:dyDescent="0.2">
      <c r="P573" s="17"/>
      <c r="Z573" s="17"/>
      <c r="AA573" s="17"/>
      <c r="AB573" s="17"/>
      <c r="AC573" s="17"/>
      <c r="AD573" s="17"/>
      <c r="AE573" s="17"/>
      <c r="AF573" s="17"/>
      <c r="AG573" s="17"/>
      <c r="AH573" s="17"/>
      <c r="AI573" s="17"/>
      <c r="AJ573" s="17"/>
      <c r="AK573" s="17"/>
      <c r="AL573" s="19"/>
      <c r="AM573" s="19"/>
      <c r="AN573" s="19"/>
      <c r="AO573" s="19"/>
    </row>
    <row r="574" spans="16:41" x14ac:dyDescent="0.2">
      <c r="P574" s="17"/>
      <c r="Q574" s="17"/>
      <c r="R574" s="17"/>
      <c r="S574" s="17"/>
      <c r="T574" s="17"/>
      <c r="U574" s="17"/>
      <c r="V574" s="17"/>
      <c r="W574" s="17"/>
      <c r="X574" s="17"/>
      <c r="Y574" s="17"/>
      <c r="Z574" s="17"/>
      <c r="AA574" s="17"/>
      <c r="AB574" s="17"/>
      <c r="AC574" s="17"/>
      <c r="AD574" s="17"/>
      <c r="AE574" s="17"/>
      <c r="AF574" s="17"/>
      <c r="AG574" s="17"/>
      <c r="AH574" s="17"/>
      <c r="AI574" s="17"/>
      <c r="AJ574" s="17"/>
      <c r="AK574" s="17"/>
      <c r="AL574" s="19"/>
      <c r="AM574" s="19"/>
      <c r="AN574" s="19"/>
      <c r="AO574" s="19"/>
    </row>
    <row r="575" spans="16:41" x14ac:dyDescent="0.2">
      <c r="P575" s="17"/>
      <c r="Q575" s="17"/>
      <c r="R575" s="17"/>
      <c r="S575" s="17"/>
      <c r="T575" s="17"/>
      <c r="U575" s="17"/>
      <c r="V575" s="17"/>
      <c r="W575" s="17"/>
      <c r="X575" s="17"/>
      <c r="Y575" s="17"/>
      <c r="Z575" s="17"/>
      <c r="AA575" s="17"/>
      <c r="AB575" s="17"/>
      <c r="AC575" s="17"/>
      <c r="AD575" s="17"/>
      <c r="AE575" s="17"/>
      <c r="AF575" s="17"/>
      <c r="AG575" s="17"/>
      <c r="AH575" s="17"/>
      <c r="AI575" s="17"/>
      <c r="AJ575" s="17"/>
      <c r="AK575" s="17"/>
      <c r="AL575" s="19"/>
      <c r="AM575" s="19"/>
      <c r="AN575" s="19"/>
      <c r="AO575" s="19"/>
    </row>
    <row r="576" spans="16:41" x14ac:dyDescent="0.2">
      <c r="P576" s="17"/>
      <c r="Q576" s="17"/>
      <c r="R576" s="17"/>
      <c r="S576" s="17"/>
      <c r="T576" s="17"/>
      <c r="U576" s="17"/>
      <c r="V576" s="17"/>
      <c r="W576" s="17"/>
      <c r="X576" s="17"/>
      <c r="Y576" s="17"/>
      <c r="Z576" s="17"/>
      <c r="AA576" s="17"/>
      <c r="AB576" s="17"/>
      <c r="AC576" s="17"/>
      <c r="AD576" s="17"/>
      <c r="AE576" s="17"/>
      <c r="AF576" s="17"/>
      <c r="AG576" s="17"/>
      <c r="AH576" s="17"/>
      <c r="AI576" s="17"/>
      <c r="AJ576" s="17"/>
      <c r="AK576" s="17"/>
      <c r="AL576" s="19"/>
      <c r="AM576" s="19"/>
      <c r="AN576" s="19"/>
      <c r="AO576" s="19"/>
    </row>
    <row r="577" spans="16:41" x14ac:dyDescent="0.2">
      <c r="P577" s="17"/>
      <c r="Q577" s="17"/>
      <c r="R577" s="17"/>
      <c r="S577" s="17"/>
      <c r="T577" s="17"/>
      <c r="U577" s="17"/>
      <c r="V577" s="17"/>
      <c r="W577" s="17"/>
      <c r="X577" s="17"/>
      <c r="Y577" s="17"/>
      <c r="Z577" s="17"/>
      <c r="AA577" s="17"/>
      <c r="AB577" s="17"/>
      <c r="AC577" s="17"/>
      <c r="AD577" s="17"/>
      <c r="AE577" s="17"/>
      <c r="AF577" s="17"/>
      <c r="AG577" s="17"/>
      <c r="AH577" s="17"/>
      <c r="AI577" s="17"/>
      <c r="AJ577" s="17"/>
      <c r="AK577" s="17"/>
      <c r="AL577" s="19"/>
      <c r="AM577" s="19"/>
      <c r="AN577" s="19"/>
      <c r="AO577" s="19"/>
    </row>
    <row r="578" spans="16:41" x14ac:dyDescent="0.2">
      <c r="P578" s="17"/>
      <c r="Q578" s="17"/>
      <c r="R578" s="17"/>
      <c r="S578" s="17"/>
      <c r="T578" s="17"/>
      <c r="U578" s="17"/>
      <c r="V578" s="17"/>
      <c r="W578" s="17"/>
      <c r="X578" s="17"/>
      <c r="Y578" s="17"/>
      <c r="Z578" s="17"/>
      <c r="AA578" s="17"/>
      <c r="AB578" s="17"/>
      <c r="AC578" s="17"/>
      <c r="AD578" s="17"/>
      <c r="AE578" s="17"/>
      <c r="AF578" s="17"/>
      <c r="AG578" s="17"/>
      <c r="AH578" s="17"/>
      <c r="AI578" s="17"/>
      <c r="AJ578" s="17"/>
      <c r="AK578" s="17"/>
      <c r="AL578" s="19"/>
      <c r="AM578" s="19"/>
      <c r="AN578" s="19"/>
      <c r="AO578" s="19"/>
    </row>
    <row r="579" spans="16:41" x14ac:dyDescent="0.2">
      <c r="P579" s="17"/>
      <c r="Q579" s="17"/>
      <c r="R579" s="17"/>
      <c r="S579" s="17"/>
      <c r="T579" s="17"/>
      <c r="U579" s="17"/>
      <c r="V579" s="17"/>
      <c r="W579" s="17"/>
      <c r="X579" s="17"/>
      <c r="Y579" s="17"/>
      <c r="Z579" s="17"/>
      <c r="AA579" s="17"/>
      <c r="AB579" s="17"/>
      <c r="AC579" s="17"/>
      <c r="AD579" s="17"/>
      <c r="AE579" s="17"/>
      <c r="AF579" s="17"/>
      <c r="AG579" s="17"/>
      <c r="AH579" s="17"/>
      <c r="AI579" s="17"/>
      <c r="AJ579" s="17"/>
      <c r="AK579" s="17"/>
      <c r="AL579" s="19"/>
      <c r="AM579" s="19"/>
      <c r="AN579" s="19"/>
      <c r="AO579" s="19"/>
    </row>
    <row r="580" spans="16:41" x14ac:dyDescent="0.2">
      <c r="P580" s="17"/>
      <c r="Q580" s="17"/>
      <c r="R580" s="17"/>
      <c r="S580" s="17"/>
      <c r="T580" s="17"/>
      <c r="U580" s="17"/>
      <c r="V580" s="17"/>
      <c r="W580" s="17"/>
      <c r="X580" s="17"/>
      <c r="Y580" s="17"/>
      <c r="Z580" s="17"/>
      <c r="AA580" s="17"/>
      <c r="AB580" s="17"/>
      <c r="AC580" s="17"/>
      <c r="AD580" s="17"/>
      <c r="AE580" s="17"/>
      <c r="AF580" s="17"/>
      <c r="AG580" s="17"/>
      <c r="AH580" s="17"/>
      <c r="AI580" s="17"/>
      <c r="AJ580" s="17"/>
      <c r="AK580" s="17"/>
      <c r="AL580" s="19"/>
      <c r="AM580" s="19"/>
      <c r="AN580" s="19"/>
      <c r="AO580" s="19"/>
    </row>
    <row r="581" spans="16:41" x14ac:dyDescent="0.2">
      <c r="P581" s="17"/>
      <c r="Q581" s="17"/>
      <c r="R581" s="17"/>
      <c r="S581" s="17"/>
      <c r="T581" s="17"/>
      <c r="U581" s="17"/>
      <c r="V581" s="17"/>
      <c r="W581" s="17"/>
      <c r="X581" s="17"/>
      <c r="Y581" s="17"/>
      <c r="Z581" s="17"/>
      <c r="AA581" s="17"/>
      <c r="AB581" s="17"/>
      <c r="AC581" s="17"/>
      <c r="AD581" s="17"/>
      <c r="AE581" s="17"/>
      <c r="AF581" s="17"/>
      <c r="AG581" s="17"/>
      <c r="AH581" s="17"/>
      <c r="AI581" s="17"/>
      <c r="AJ581" s="17"/>
      <c r="AK581" s="17"/>
      <c r="AL581" s="19"/>
      <c r="AM581" s="19"/>
      <c r="AN581" s="19"/>
      <c r="AO581" s="19"/>
    </row>
    <row r="582" spans="16:41" x14ac:dyDescent="0.2">
      <c r="P582" s="17"/>
      <c r="Q582" s="17"/>
      <c r="R582" s="17"/>
      <c r="S582" s="17"/>
      <c r="T582" s="17"/>
      <c r="U582" s="17"/>
      <c r="V582" s="17"/>
      <c r="W582" s="17"/>
      <c r="X582" s="17"/>
      <c r="Y582" s="17"/>
      <c r="Z582" s="17"/>
      <c r="AA582" s="17"/>
      <c r="AB582" s="17"/>
      <c r="AC582" s="17"/>
      <c r="AD582" s="17"/>
      <c r="AE582" s="17"/>
      <c r="AF582" s="17"/>
      <c r="AG582" s="17"/>
      <c r="AH582" s="17"/>
      <c r="AI582" s="17"/>
      <c r="AJ582" s="17"/>
      <c r="AK582" s="17"/>
      <c r="AL582" s="19"/>
      <c r="AM582" s="19"/>
      <c r="AN582" s="19"/>
      <c r="AO582" s="19"/>
    </row>
    <row r="583" spans="16:41" x14ac:dyDescent="0.2">
      <c r="P583" s="17"/>
      <c r="Q583" s="17"/>
      <c r="R583" s="17"/>
      <c r="S583" s="17"/>
      <c r="T583" s="17"/>
      <c r="U583" s="17"/>
      <c r="V583" s="17"/>
      <c r="W583" s="17"/>
      <c r="X583" s="17"/>
      <c r="Y583" s="17"/>
      <c r="Z583" s="17"/>
      <c r="AA583" s="17"/>
      <c r="AB583" s="17"/>
      <c r="AC583" s="17"/>
      <c r="AD583" s="17"/>
      <c r="AE583" s="17"/>
      <c r="AF583" s="17"/>
      <c r="AG583" s="17"/>
      <c r="AH583" s="17"/>
      <c r="AI583" s="17"/>
      <c r="AJ583" s="17"/>
      <c r="AK583" s="17"/>
      <c r="AL583" s="19"/>
      <c r="AM583" s="19"/>
      <c r="AN583" s="19"/>
      <c r="AO583" s="19"/>
    </row>
    <row r="584" spans="16:41" x14ac:dyDescent="0.2">
      <c r="P584" s="17"/>
      <c r="Q584" s="17"/>
      <c r="R584" s="17"/>
      <c r="S584" s="17"/>
      <c r="T584" s="17"/>
      <c r="U584" s="17"/>
      <c r="V584" s="17"/>
      <c r="W584" s="17"/>
      <c r="X584" s="17"/>
      <c r="Y584" s="17"/>
      <c r="Z584" s="17"/>
      <c r="AA584" s="17"/>
      <c r="AB584" s="17"/>
      <c r="AC584" s="17"/>
      <c r="AD584" s="17"/>
      <c r="AE584" s="17"/>
      <c r="AF584" s="17"/>
      <c r="AG584" s="17"/>
      <c r="AH584" s="17"/>
      <c r="AI584" s="17"/>
      <c r="AJ584" s="17"/>
      <c r="AK584" s="17"/>
      <c r="AL584" s="19"/>
      <c r="AM584" s="19"/>
      <c r="AN584" s="19"/>
      <c r="AO584" s="19"/>
    </row>
    <row r="585" spans="16:41" x14ac:dyDescent="0.2">
      <c r="P585" s="17"/>
      <c r="Q585" s="17"/>
      <c r="R585" s="17"/>
      <c r="S585" s="17"/>
      <c r="T585" s="17"/>
      <c r="U585" s="17"/>
      <c r="V585" s="17"/>
      <c r="W585" s="17"/>
      <c r="X585" s="17"/>
      <c r="Y585" s="17"/>
      <c r="Z585" s="17"/>
      <c r="AA585" s="17"/>
      <c r="AB585" s="17"/>
      <c r="AC585" s="17"/>
      <c r="AD585" s="17"/>
      <c r="AE585" s="17"/>
      <c r="AF585" s="17"/>
      <c r="AG585" s="17"/>
      <c r="AH585" s="17"/>
      <c r="AI585" s="17"/>
      <c r="AJ585" s="17"/>
      <c r="AK585" s="17"/>
      <c r="AL585" s="19"/>
      <c r="AM585" s="19"/>
      <c r="AN585" s="19"/>
      <c r="AO585" s="19"/>
    </row>
    <row r="586" spans="16:41" x14ac:dyDescent="0.2">
      <c r="P586" s="17"/>
      <c r="Q586" s="17"/>
      <c r="R586" s="17"/>
      <c r="S586" s="17"/>
      <c r="T586" s="17"/>
      <c r="U586" s="17"/>
      <c r="V586" s="17"/>
      <c r="W586" s="17"/>
      <c r="X586" s="17"/>
      <c r="Y586" s="17"/>
      <c r="Z586" s="17"/>
      <c r="AA586" s="17"/>
      <c r="AB586" s="17"/>
      <c r="AC586" s="17"/>
      <c r="AD586" s="17"/>
      <c r="AE586" s="17"/>
      <c r="AF586" s="17"/>
      <c r="AG586" s="17"/>
      <c r="AH586" s="17"/>
      <c r="AI586" s="17"/>
      <c r="AJ586" s="17"/>
      <c r="AK586" s="17"/>
      <c r="AL586" s="19"/>
      <c r="AM586" s="19"/>
      <c r="AN586" s="19"/>
      <c r="AO586" s="19"/>
    </row>
    <row r="587" spans="16:41" x14ac:dyDescent="0.2">
      <c r="P587" s="17"/>
      <c r="Q587" s="17"/>
      <c r="R587" s="17"/>
      <c r="S587" s="17"/>
      <c r="T587" s="17"/>
      <c r="U587" s="17"/>
      <c r="V587" s="17"/>
      <c r="W587" s="17"/>
      <c r="X587" s="17"/>
      <c r="Y587" s="17"/>
      <c r="Z587" s="17"/>
      <c r="AA587" s="17"/>
      <c r="AB587" s="17"/>
      <c r="AC587" s="17"/>
      <c r="AD587" s="17"/>
      <c r="AE587" s="17"/>
      <c r="AF587" s="17"/>
      <c r="AG587" s="17"/>
      <c r="AH587" s="17"/>
      <c r="AI587" s="17"/>
      <c r="AJ587" s="17"/>
      <c r="AK587" s="17"/>
      <c r="AL587" s="19"/>
      <c r="AM587" s="19"/>
      <c r="AN587" s="19"/>
      <c r="AO587" s="19"/>
    </row>
    <row r="588" spans="16:41" x14ac:dyDescent="0.2">
      <c r="P588" s="17"/>
      <c r="Q588" s="17"/>
      <c r="R588" s="17"/>
      <c r="S588" s="17"/>
      <c r="T588" s="17"/>
      <c r="U588" s="17"/>
      <c r="V588" s="17"/>
      <c r="W588" s="17"/>
      <c r="X588" s="17"/>
      <c r="Y588" s="17"/>
      <c r="Z588" s="17"/>
      <c r="AA588" s="17"/>
      <c r="AB588" s="17"/>
      <c r="AC588" s="17"/>
      <c r="AD588" s="17"/>
      <c r="AE588" s="17"/>
      <c r="AF588" s="17"/>
      <c r="AG588" s="17"/>
      <c r="AH588" s="17"/>
      <c r="AI588" s="17"/>
      <c r="AJ588" s="17"/>
      <c r="AK588" s="17"/>
      <c r="AL588" s="19"/>
      <c r="AM588" s="19"/>
      <c r="AN588" s="19"/>
      <c r="AO588" s="19"/>
    </row>
    <row r="589" spans="16:41" x14ac:dyDescent="0.2">
      <c r="P589" s="17"/>
      <c r="Q589" s="17"/>
      <c r="R589" s="17"/>
      <c r="S589" s="17"/>
      <c r="T589" s="17"/>
      <c r="U589" s="17"/>
      <c r="V589" s="17"/>
      <c r="W589" s="17"/>
      <c r="X589" s="17"/>
      <c r="Y589" s="17"/>
      <c r="Z589" s="17"/>
      <c r="AA589" s="17"/>
      <c r="AB589" s="17"/>
      <c r="AC589" s="17"/>
      <c r="AD589" s="17"/>
      <c r="AE589" s="17"/>
      <c r="AF589" s="17"/>
      <c r="AG589" s="17"/>
      <c r="AH589" s="17"/>
      <c r="AI589" s="17"/>
      <c r="AJ589" s="17"/>
      <c r="AK589" s="17"/>
      <c r="AL589" s="19"/>
      <c r="AM589" s="19"/>
      <c r="AN589" s="19"/>
      <c r="AO589" s="19"/>
    </row>
    <row r="590" spans="16:41" x14ac:dyDescent="0.2">
      <c r="P590" s="17"/>
      <c r="Q590" s="17"/>
      <c r="R590" s="17"/>
      <c r="S590" s="17"/>
      <c r="T590" s="17"/>
      <c r="U590" s="17"/>
      <c r="V590" s="17"/>
      <c r="W590" s="17"/>
      <c r="X590" s="17"/>
      <c r="Y590" s="17"/>
      <c r="Z590" s="17"/>
      <c r="AA590" s="17"/>
      <c r="AB590" s="17"/>
      <c r="AC590" s="17"/>
      <c r="AD590" s="17"/>
      <c r="AE590" s="17"/>
      <c r="AF590" s="17"/>
      <c r="AG590" s="17"/>
      <c r="AH590" s="17"/>
      <c r="AI590" s="17"/>
      <c r="AJ590" s="17"/>
      <c r="AK590" s="17"/>
      <c r="AL590" s="19"/>
      <c r="AM590" s="19"/>
      <c r="AN590" s="19"/>
      <c r="AO590" s="19"/>
    </row>
    <row r="591" spans="16:41" x14ac:dyDescent="0.2">
      <c r="P591" s="17"/>
      <c r="Q591" s="17"/>
      <c r="R591" s="17"/>
      <c r="S591" s="17"/>
      <c r="T591" s="17"/>
      <c r="U591" s="17"/>
      <c r="V591" s="17"/>
      <c r="W591" s="17"/>
      <c r="X591" s="17"/>
      <c r="Y591" s="17"/>
      <c r="Z591" s="17"/>
      <c r="AA591" s="17"/>
      <c r="AB591" s="17"/>
      <c r="AC591" s="17"/>
      <c r="AD591" s="17"/>
      <c r="AE591" s="17"/>
      <c r="AF591" s="17"/>
      <c r="AG591" s="17"/>
      <c r="AH591" s="17"/>
      <c r="AI591" s="17"/>
      <c r="AJ591" s="17"/>
      <c r="AK591" s="17"/>
      <c r="AL591" s="19"/>
      <c r="AM591" s="19"/>
      <c r="AN591" s="19"/>
      <c r="AO591" s="19"/>
    </row>
    <row r="592" spans="16:41" x14ac:dyDescent="0.2">
      <c r="P592" s="17"/>
      <c r="Q592" s="17"/>
      <c r="R592" s="17"/>
      <c r="S592" s="17"/>
      <c r="T592" s="17"/>
      <c r="U592" s="17"/>
      <c r="V592" s="17"/>
      <c r="W592" s="17"/>
      <c r="X592" s="17"/>
      <c r="Y592" s="17"/>
      <c r="Z592" s="17"/>
      <c r="AA592" s="17"/>
      <c r="AB592" s="17"/>
      <c r="AC592" s="17"/>
      <c r="AD592" s="17"/>
      <c r="AE592" s="17"/>
      <c r="AF592" s="17"/>
      <c r="AG592" s="17"/>
      <c r="AH592" s="17"/>
      <c r="AI592" s="17"/>
      <c r="AJ592" s="17"/>
      <c r="AK592" s="17"/>
      <c r="AL592" s="19"/>
      <c r="AM592" s="19"/>
      <c r="AN592" s="19"/>
      <c r="AO592" s="19"/>
    </row>
    <row r="593" spans="16:41" x14ac:dyDescent="0.2">
      <c r="P593" s="17"/>
      <c r="Q593" s="17"/>
      <c r="R593" s="17"/>
      <c r="S593" s="17"/>
      <c r="T593" s="17"/>
      <c r="U593" s="17"/>
      <c r="V593" s="17"/>
      <c r="W593" s="17"/>
      <c r="X593" s="17"/>
      <c r="Y593" s="17"/>
      <c r="Z593" s="17"/>
      <c r="AA593" s="17"/>
      <c r="AB593" s="17"/>
      <c r="AC593" s="17"/>
      <c r="AD593" s="17"/>
      <c r="AE593" s="17"/>
      <c r="AF593" s="17"/>
      <c r="AG593" s="17"/>
      <c r="AH593" s="17"/>
      <c r="AI593" s="17"/>
      <c r="AJ593" s="17"/>
      <c r="AK593" s="17"/>
      <c r="AL593" s="19"/>
      <c r="AM593" s="19"/>
      <c r="AN593" s="19"/>
      <c r="AO593" s="19"/>
    </row>
    <row r="594" spans="16:41" x14ac:dyDescent="0.2">
      <c r="P594" s="17"/>
      <c r="Q594" s="17"/>
      <c r="R594" s="17"/>
      <c r="S594" s="17"/>
      <c r="T594" s="17"/>
      <c r="U594" s="17"/>
      <c r="V594" s="17"/>
      <c r="W594" s="17"/>
      <c r="X594" s="17"/>
      <c r="Y594" s="17"/>
      <c r="Z594" s="17"/>
      <c r="AA594" s="17"/>
      <c r="AB594" s="17"/>
      <c r="AC594" s="17"/>
      <c r="AD594" s="17"/>
      <c r="AE594" s="17"/>
      <c r="AF594" s="17"/>
      <c r="AG594" s="17"/>
      <c r="AH594" s="17"/>
      <c r="AI594" s="17"/>
      <c r="AJ594" s="17"/>
      <c r="AK594" s="17"/>
      <c r="AL594" s="19"/>
      <c r="AM594" s="19"/>
      <c r="AN594" s="19"/>
      <c r="AO594" s="19"/>
    </row>
    <row r="595" spans="16:41" x14ac:dyDescent="0.2">
      <c r="P595" s="17"/>
      <c r="Q595" s="17"/>
      <c r="R595" s="17"/>
      <c r="S595" s="17"/>
      <c r="T595" s="17"/>
      <c r="U595" s="17"/>
      <c r="V595" s="17"/>
      <c r="W595" s="17"/>
      <c r="X595" s="17"/>
      <c r="Y595" s="17"/>
      <c r="Z595" s="17"/>
      <c r="AA595" s="17"/>
      <c r="AB595" s="17"/>
      <c r="AC595" s="17"/>
      <c r="AD595" s="17"/>
      <c r="AE595" s="17"/>
      <c r="AF595" s="17"/>
      <c r="AG595" s="17"/>
      <c r="AH595" s="17"/>
      <c r="AI595" s="17"/>
      <c r="AJ595" s="17"/>
      <c r="AK595" s="17"/>
      <c r="AL595" s="19"/>
      <c r="AM595" s="19"/>
      <c r="AN595" s="19"/>
      <c r="AO595" s="19"/>
    </row>
    <row r="596" spans="16:41" x14ac:dyDescent="0.2">
      <c r="P596" s="17"/>
      <c r="Q596" s="17"/>
      <c r="R596" s="17"/>
      <c r="S596" s="17"/>
      <c r="T596" s="17"/>
      <c r="U596" s="17"/>
      <c r="V596" s="17"/>
      <c r="W596" s="17"/>
      <c r="X596" s="17"/>
      <c r="Y596" s="17"/>
      <c r="Z596" s="17"/>
      <c r="AA596" s="17"/>
      <c r="AB596" s="17"/>
      <c r="AC596" s="17"/>
      <c r="AD596" s="17"/>
      <c r="AE596" s="17"/>
      <c r="AF596" s="17"/>
      <c r="AG596" s="17"/>
      <c r="AH596" s="17"/>
      <c r="AI596" s="17"/>
      <c r="AJ596" s="17"/>
      <c r="AK596" s="17"/>
      <c r="AL596" s="19"/>
      <c r="AM596" s="19"/>
      <c r="AN596" s="19"/>
      <c r="AO596" s="19"/>
    </row>
    <row r="597" spans="16:41" x14ac:dyDescent="0.2">
      <c r="P597" s="17"/>
      <c r="Q597" s="17"/>
      <c r="R597" s="17"/>
      <c r="S597" s="17"/>
      <c r="T597" s="17"/>
      <c r="U597" s="17"/>
      <c r="V597" s="17"/>
      <c r="W597" s="17"/>
      <c r="X597" s="17"/>
      <c r="Y597" s="17"/>
      <c r="Z597" s="17"/>
      <c r="AA597" s="17"/>
      <c r="AB597" s="17"/>
      <c r="AC597" s="17"/>
      <c r="AD597" s="17"/>
      <c r="AE597" s="17"/>
      <c r="AF597" s="17"/>
      <c r="AG597" s="17"/>
      <c r="AH597" s="17"/>
      <c r="AI597" s="17"/>
      <c r="AJ597" s="17"/>
      <c r="AK597" s="17"/>
      <c r="AL597" s="19"/>
      <c r="AM597" s="19"/>
      <c r="AN597" s="19"/>
      <c r="AO597" s="19"/>
    </row>
    <row r="598" spans="16:41" x14ac:dyDescent="0.2">
      <c r="P598" s="17"/>
      <c r="Q598" s="17"/>
      <c r="R598" s="17"/>
      <c r="S598" s="17"/>
      <c r="T598" s="17"/>
      <c r="U598" s="17"/>
      <c r="V598" s="17"/>
      <c r="W598" s="17"/>
      <c r="X598" s="17"/>
      <c r="Y598" s="17"/>
      <c r="Z598" s="17"/>
      <c r="AA598" s="17"/>
      <c r="AB598" s="17"/>
      <c r="AC598" s="17"/>
      <c r="AD598" s="17"/>
      <c r="AE598" s="17"/>
      <c r="AF598" s="17"/>
      <c r="AG598" s="17"/>
      <c r="AH598" s="17"/>
      <c r="AI598" s="17"/>
      <c r="AJ598" s="17"/>
      <c r="AK598" s="17"/>
      <c r="AL598" s="19"/>
      <c r="AM598" s="19"/>
      <c r="AN598" s="19"/>
      <c r="AO598" s="19"/>
    </row>
    <row r="599" spans="16:41" x14ac:dyDescent="0.2">
      <c r="P599" s="17"/>
      <c r="Q599" s="17"/>
      <c r="R599" s="17"/>
      <c r="S599" s="17"/>
      <c r="T599" s="17"/>
      <c r="U599" s="17"/>
      <c r="V599" s="17"/>
      <c r="W599" s="17"/>
      <c r="X599" s="17"/>
      <c r="Y599" s="17"/>
      <c r="Z599" s="17"/>
      <c r="AA599" s="17"/>
      <c r="AB599" s="17"/>
      <c r="AC599" s="17"/>
      <c r="AD599" s="17"/>
      <c r="AE599" s="17"/>
      <c r="AF599" s="17"/>
      <c r="AG599" s="17"/>
      <c r="AH599" s="17"/>
      <c r="AI599" s="17"/>
      <c r="AJ599" s="17"/>
      <c r="AK599" s="17"/>
      <c r="AL599" s="19"/>
      <c r="AM599" s="19"/>
      <c r="AN599" s="19"/>
      <c r="AO599" s="19"/>
    </row>
    <row r="600" spans="16:41" x14ac:dyDescent="0.2">
      <c r="P600" s="17"/>
      <c r="Q600" s="17"/>
      <c r="R600" s="17"/>
      <c r="S600" s="17"/>
      <c r="T600" s="17"/>
      <c r="U600" s="17"/>
      <c r="V600" s="17"/>
      <c r="W600" s="17"/>
      <c r="X600" s="17"/>
      <c r="Y600" s="17"/>
      <c r="Z600" s="17"/>
      <c r="AA600" s="17"/>
      <c r="AB600" s="17"/>
      <c r="AC600" s="17"/>
      <c r="AD600" s="17"/>
      <c r="AE600" s="17"/>
      <c r="AF600" s="17"/>
      <c r="AG600" s="17"/>
      <c r="AH600" s="17"/>
      <c r="AI600" s="17"/>
      <c r="AJ600" s="17"/>
      <c r="AK600" s="17"/>
      <c r="AL600" s="19"/>
      <c r="AM600" s="19"/>
      <c r="AN600" s="19"/>
      <c r="AO600" s="19"/>
    </row>
    <row r="601" spans="16:41" x14ac:dyDescent="0.2">
      <c r="P601" s="17"/>
      <c r="Q601" s="17"/>
      <c r="R601" s="17"/>
      <c r="S601" s="17"/>
      <c r="T601" s="17"/>
      <c r="U601" s="17"/>
      <c r="V601" s="17"/>
      <c r="W601" s="17"/>
      <c r="X601" s="17"/>
      <c r="Y601" s="17"/>
      <c r="Z601" s="17"/>
      <c r="AA601" s="17"/>
      <c r="AB601" s="17"/>
      <c r="AC601" s="17"/>
      <c r="AD601" s="17"/>
      <c r="AE601" s="17"/>
      <c r="AF601" s="17"/>
      <c r="AG601" s="17"/>
      <c r="AH601" s="17"/>
      <c r="AI601" s="17"/>
      <c r="AJ601" s="17"/>
      <c r="AK601" s="17"/>
      <c r="AL601" s="19"/>
      <c r="AM601" s="19"/>
      <c r="AN601" s="19"/>
      <c r="AO601" s="19"/>
    </row>
    <row r="602" spans="16:41" x14ac:dyDescent="0.2">
      <c r="P602" s="17"/>
      <c r="Q602" s="17"/>
      <c r="R602" s="17"/>
      <c r="S602" s="17"/>
      <c r="T602" s="17"/>
      <c r="U602" s="17"/>
      <c r="V602" s="17"/>
      <c r="W602" s="17"/>
      <c r="X602" s="17"/>
      <c r="Y602" s="17"/>
      <c r="Z602" s="17"/>
      <c r="AA602" s="17"/>
      <c r="AB602" s="17"/>
      <c r="AC602" s="17"/>
      <c r="AD602" s="17"/>
      <c r="AE602" s="17"/>
      <c r="AF602" s="17"/>
      <c r="AG602" s="17"/>
      <c r="AH602" s="17"/>
      <c r="AI602" s="17"/>
      <c r="AJ602" s="17"/>
      <c r="AK602" s="17"/>
      <c r="AL602" s="19"/>
      <c r="AM602" s="19"/>
      <c r="AN602" s="19"/>
      <c r="AO602" s="19"/>
    </row>
    <row r="603" spans="16:41" x14ac:dyDescent="0.2">
      <c r="P603" s="17"/>
      <c r="Q603" s="17"/>
      <c r="R603" s="17"/>
      <c r="S603" s="17"/>
      <c r="T603" s="17"/>
      <c r="U603" s="17"/>
      <c r="V603" s="17"/>
      <c r="W603" s="17"/>
      <c r="X603" s="17"/>
      <c r="Y603" s="17"/>
      <c r="Z603" s="17"/>
      <c r="AA603" s="17"/>
      <c r="AB603" s="17"/>
      <c r="AC603" s="17"/>
      <c r="AD603" s="17"/>
      <c r="AE603" s="17"/>
      <c r="AF603" s="17"/>
      <c r="AG603" s="17"/>
      <c r="AH603" s="17"/>
      <c r="AI603" s="17"/>
      <c r="AJ603" s="17"/>
      <c r="AK603" s="17"/>
      <c r="AL603" s="19"/>
      <c r="AM603" s="19"/>
      <c r="AN603" s="19"/>
      <c r="AO603" s="19"/>
    </row>
    <row r="604" spans="16:41" x14ac:dyDescent="0.2">
      <c r="P604" s="17"/>
      <c r="Q604" s="17"/>
      <c r="R604" s="17"/>
      <c r="S604" s="17"/>
      <c r="T604" s="17"/>
      <c r="U604" s="17"/>
      <c r="V604" s="17"/>
      <c r="W604" s="17"/>
      <c r="X604" s="17"/>
      <c r="Y604" s="17"/>
      <c r="Z604" s="17"/>
      <c r="AA604" s="17"/>
      <c r="AB604" s="17"/>
      <c r="AC604" s="17"/>
      <c r="AD604" s="17"/>
      <c r="AE604" s="17"/>
      <c r="AF604" s="17"/>
      <c r="AG604" s="17"/>
      <c r="AH604" s="17"/>
      <c r="AI604" s="17"/>
      <c r="AJ604" s="17"/>
      <c r="AK604" s="17"/>
      <c r="AL604" s="19"/>
      <c r="AM604" s="19"/>
      <c r="AN604" s="19"/>
      <c r="AO604" s="19"/>
    </row>
    <row r="605" spans="16:41" x14ac:dyDescent="0.2">
      <c r="P605" s="17"/>
      <c r="Q605" s="17"/>
      <c r="R605" s="17"/>
      <c r="S605" s="17"/>
      <c r="T605" s="17"/>
      <c r="U605" s="17"/>
      <c r="V605" s="17"/>
      <c r="W605" s="17"/>
      <c r="X605" s="17"/>
      <c r="Y605" s="17"/>
      <c r="Z605" s="17"/>
      <c r="AA605" s="17"/>
      <c r="AB605" s="17"/>
      <c r="AC605" s="17"/>
      <c r="AD605" s="17"/>
      <c r="AE605" s="17"/>
      <c r="AF605" s="17"/>
      <c r="AG605" s="17"/>
      <c r="AH605" s="17"/>
      <c r="AI605" s="17"/>
      <c r="AJ605" s="17"/>
      <c r="AK605" s="17"/>
      <c r="AL605" s="19"/>
      <c r="AM605" s="19"/>
      <c r="AN605" s="19"/>
      <c r="AO605" s="19"/>
    </row>
    <row r="606" spans="16:41" x14ac:dyDescent="0.2">
      <c r="P606" s="17"/>
      <c r="Q606" s="17"/>
      <c r="R606" s="17"/>
      <c r="S606" s="17"/>
      <c r="T606" s="17"/>
      <c r="U606" s="17"/>
      <c r="V606" s="17"/>
      <c r="W606" s="17"/>
      <c r="X606" s="17"/>
      <c r="Y606" s="17"/>
      <c r="Z606" s="17"/>
      <c r="AA606" s="17"/>
      <c r="AB606" s="17"/>
      <c r="AC606" s="17"/>
      <c r="AD606" s="17"/>
      <c r="AE606" s="17"/>
      <c r="AF606" s="17"/>
      <c r="AG606" s="17"/>
      <c r="AH606" s="17"/>
      <c r="AI606" s="17"/>
      <c r="AJ606" s="17"/>
      <c r="AK606" s="17"/>
      <c r="AL606" s="19"/>
      <c r="AM606" s="19"/>
      <c r="AN606" s="19"/>
      <c r="AO606" s="19"/>
    </row>
    <row r="607" spans="16:41" x14ac:dyDescent="0.2">
      <c r="P607" s="17"/>
      <c r="Q607" s="17"/>
      <c r="R607" s="17"/>
      <c r="S607" s="17"/>
      <c r="T607" s="17"/>
      <c r="U607" s="17"/>
      <c r="V607" s="17"/>
      <c r="W607" s="17"/>
      <c r="X607" s="17"/>
      <c r="Y607" s="17"/>
      <c r="Z607" s="17"/>
      <c r="AA607" s="17"/>
      <c r="AB607" s="17"/>
      <c r="AC607" s="17"/>
      <c r="AD607" s="17"/>
      <c r="AE607" s="17"/>
      <c r="AF607" s="17"/>
      <c r="AG607" s="17"/>
      <c r="AH607" s="17"/>
      <c r="AI607" s="17"/>
      <c r="AJ607" s="17"/>
      <c r="AK607" s="17"/>
      <c r="AL607" s="19"/>
      <c r="AM607" s="19"/>
      <c r="AN607" s="19"/>
      <c r="AO607" s="19"/>
    </row>
    <row r="608" spans="16:41" x14ac:dyDescent="0.2">
      <c r="P608" s="17"/>
      <c r="Q608" s="17"/>
      <c r="R608" s="17"/>
      <c r="S608" s="17"/>
      <c r="T608" s="17"/>
      <c r="U608" s="17"/>
      <c r="V608" s="17"/>
      <c r="W608" s="17"/>
      <c r="X608" s="17"/>
      <c r="Y608" s="17"/>
      <c r="Z608" s="17"/>
      <c r="AA608" s="17"/>
      <c r="AB608" s="17"/>
      <c r="AC608" s="17"/>
      <c r="AD608" s="17"/>
      <c r="AE608" s="17"/>
      <c r="AF608" s="17"/>
      <c r="AG608" s="17"/>
      <c r="AH608" s="17"/>
      <c r="AI608" s="17"/>
      <c r="AJ608" s="17"/>
      <c r="AK608" s="17"/>
      <c r="AL608" s="19"/>
      <c r="AM608" s="19"/>
      <c r="AN608" s="19"/>
      <c r="AO608" s="19"/>
    </row>
    <row r="609" spans="16:41" x14ac:dyDescent="0.2">
      <c r="P609" s="17"/>
      <c r="Q609" s="17"/>
      <c r="R609" s="17"/>
      <c r="S609" s="17"/>
      <c r="T609" s="17"/>
      <c r="U609" s="17"/>
      <c r="V609" s="17"/>
      <c r="W609" s="17"/>
      <c r="X609" s="17"/>
      <c r="Y609" s="17"/>
      <c r="Z609" s="17"/>
      <c r="AA609" s="17"/>
      <c r="AB609" s="17"/>
      <c r="AC609" s="17"/>
      <c r="AD609" s="17"/>
      <c r="AE609" s="17"/>
      <c r="AF609" s="17"/>
      <c r="AG609" s="17"/>
      <c r="AH609" s="17"/>
      <c r="AI609" s="17"/>
      <c r="AJ609" s="17"/>
      <c r="AK609" s="17"/>
      <c r="AL609" s="19"/>
      <c r="AM609" s="19"/>
      <c r="AN609" s="19"/>
      <c r="AO609" s="19"/>
    </row>
    <row r="610" spans="16:41" x14ac:dyDescent="0.2">
      <c r="P610" s="17"/>
      <c r="Q610" s="17"/>
      <c r="R610" s="17"/>
      <c r="S610" s="17"/>
      <c r="T610" s="17"/>
      <c r="U610" s="17"/>
      <c r="V610" s="17"/>
      <c r="W610" s="17"/>
      <c r="X610" s="17"/>
      <c r="Y610" s="17"/>
      <c r="Z610" s="17"/>
      <c r="AA610" s="17"/>
      <c r="AB610" s="17"/>
      <c r="AC610" s="17"/>
      <c r="AD610" s="17"/>
      <c r="AE610" s="17"/>
      <c r="AF610" s="17"/>
      <c r="AG610" s="17"/>
      <c r="AH610" s="17"/>
      <c r="AI610" s="17"/>
      <c r="AJ610" s="17"/>
      <c r="AK610" s="17"/>
      <c r="AL610" s="19"/>
      <c r="AM610" s="19"/>
      <c r="AN610" s="19"/>
      <c r="AO610" s="19"/>
    </row>
    <row r="611" spans="16:41" x14ac:dyDescent="0.2">
      <c r="P611" s="17"/>
      <c r="Q611" s="17"/>
      <c r="R611" s="17"/>
      <c r="S611" s="17"/>
      <c r="T611" s="17"/>
      <c r="U611" s="17"/>
      <c r="V611" s="17"/>
      <c r="W611" s="17"/>
      <c r="X611" s="17"/>
      <c r="Y611" s="17"/>
      <c r="Z611" s="17"/>
      <c r="AA611" s="17"/>
      <c r="AB611" s="17"/>
      <c r="AC611" s="17"/>
      <c r="AD611" s="17"/>
      <c r="AE611" s="17"/>
      <c r="AF611" s="17"/>
      <c r="AG611" s="17"/>
      <c r="AH611" s="17"/>
      <c r="AI611" s="17"/>
      <c r="AJ611" s="17"/>
      <c r="AK611" s="17"/>
      <c r="AL611" s="19"/>
      <c r="AM611" s="19"/>
      <c r="AN611" s="19"/>
      <c r="AO611" s="19"/>
    </row>
    <row r="612" spans="16:41" x14ac:dyDescent="0.2">
      <c r="P612" s="17"/>
      <c r="Q612" s="17"/>
      <c r="R612" s="17"/>
      <c r="S612" s="17"/>
      <c r="T612" s="17"/>
      <c r="U612" s="17"/>
      <c r="V612" s="17"/>
      <c r="W612" s="17"/>
      <c r="X612" s="17"/>
      <c r="Y612" s="17"/>
      <c r="Z612" s="17"/>
      <c r="AA612" s="17"/>
      <c r="AB612" s="17"/>
      <c r="AC612" s="17"/>
      <c r="AD612" s="17"/>
      <c r="AE612" s="17"/>
      <c r="AF612" s="17"/>
      <c r="AG612" s="17"/>
      <c r="AH612" s="17"/>
      <c r="AI612" s="17"/>
      <c r="AJ612" s="17"/>
      <c r="AK612" s="17"/>
      <c r="AL612" s="19"/>
      <c r="AM612" s="19"/>
      <c r="AN612" s="19"/>
      <c r="AO612" s="19"/>
    </row>
    <row r="613" spans="16:41" x14ac:dyDescent="0.2">
      <c r="P613" s="17"/>
      <c r="Q613" s="17"/>
      <c r="R613" s="17"/>
      <c r="S613" s="17"/>
      <c r="T613" s="17"/>
      <c r="U613" s="17"/>
      <c r="V613" s="17"/>
      <c r="W613" s="17"/>
      <c r="X613" s="17"/>
      <c r="Y613" s="17"/>
      <c r="Z613" s="17"/>
      <c r="AA613" s="17"/>
      <c r="AB613" s="17"/>
      <c r="AC613" s="17"/>
      <c r="AD613" s="17"/>
      <c r="AE613" s="17"/>
      <c r="AF613" s="17"/>
      <c r="AG613" s="17"/>
      <c r="AH613" s="17"/>
      <c r="AI613" s="17"/>
      <c r="AJ613" s="17"/>
      <c r="AK613" s="17"/>
      <c r="AL613" s="19"/>
      <c r="AM613" s="19"/>
      <c r="AN613" s="19"/>
      <c r="AO613" s="19"/>
    </row>
    <row r="614" spans="16:41" x14ac:dyDescent="0.2">
      <c r="P614" s="17"/>
      <c r="Q614" s="17"/>
      <c r="R614" s="17"/>
      <c r="S614" s="17"/>
      <c r="T614" s="17"/>
      <c r="U614" s="17"/>
      <c r="V614" s="17"/>
      <c r="W614" s="17"/>
      <c r="X614" s="17"/>
      <c r="Y614" s="17"/>
      <c r="Z614" s="17"/>
      <c r="AA614" s="17"/>
      <c r="AB614" s="17"/>
      <c r="AC614" s="17"/>
      <c r="AD614" s="17"/>
      <c r="AE614" s="17"/>
      <c r="AF614" s="17"/>
      <c r="AG614" s="17"/>
      <c r="AH614" s="17"/>
      <c r="AI614" s="17"/>
      <c r="AJ614" s="17"/>
      <c r="AK614" s="17"/>
      <c r="AL614" s="19"/>
      <c r="AM614" s="19"/>
      <c r="AN614" s="19"/>
      <c r="AO614" s="19"/>
    </row>
    <row r="615" spans="16:41" x14ac:dyDescent="0.2">
      <c r="P615" s="17"/>
      <c r="Q615" s="17"/>
      <c r="R615" s="17"/>
      <c r="S615" s="17"/>
      <c r="T615" s="17"/>
      <c r="U615" s="17"/>
      <c r="V615" s="17"/>
      <c r="W615" s="17"/>
      <c r="X615" s="17"/>
      <c r="Y615" s="17"/>
      <c r="Z615" s="17"/>
      <c r="AA615" s="17"/>
      <c r="AB615" s="17"/>
      <c r="AC615" s="17"/>
      <c r="AD615" s="17"/>
      <c r="AE615" s="17"/>
      <c r="AF615" s="17"/>
      <c r="AG615" s="17"/>
      <c r="AH615" s="17"/>
      <c r="AI615" s="17"/>
      <c r="AJ615" s="17"/>
      <c r="AK615" s="17"/>
      <c r="AL615" s="19"/>
      <c r="AM615" s="19"/>
      <c r="AN615" s="19"/>
      <c r="AO615" s="19"/>
    </row>
    <row r="616" spans="16:41" x14ac:dyDescent="0.2">
      <c r="P616" s="17"/>
      <c r="Q616" s="17"/>
      <c r="R616" s="17"/>
      <c r="S616" s="17"/>
      <c r="T616" s="17"/>
      <c r="U616" s="17"/>
      <c r="V616" s="17"/>
      <c r="W616" s="17"/>
      <c r="X616" s="17"/>
      <c r="Y616" s="17"/>
      <c r="Z616" s="17"/>
      <c r="AA616" s="17"/>
      <c r="AB616" s="17"/>
      <c r="AC616" s="17"/>
      <c r="AD616" s="17"/>
      <c r="AE616" s="17"/>
      <c r="AF616" s="17"/>
      <c r="AG616" s="17"/>
      <c r="AH616" s="17"/>
      <c r="AI616" s="17"/>
      <c r="AJ616" s="17"/>
      <c r="AK616" s="17"/>
      <c r="AL616" s="19"/>
      <c r="AM616" s="19"/>
      <c r="AN616" s="19"/>
      <c r="AO616" s="19"/>
    </row>
    <row r="617" spans="16:41" x14ac:dyDescent="0.2">
      <c r="P617" s="17"/>
      <c r="Q617" s="17"/>
      <c r="R617" s="17"/>
      <c r="S617" s="17"/>
      <c r="T617" s="17"/>
      <c r="U617" s="17"/>
      <c r="V617" s="17"/>
      <c r="W617" s="17"/>
      <c r="X617" s="17"/>
      <c r="Y617" s="17"/>
      <c r="Z617" s="17"/>
      <c r="AA617" s="17"/>
      <c r="AB617" s="17"/>
      <c r="AC617" s="17"/>
      <c r="AD617" s="17"/>
      <c r="AE617" s="17"/>
      <c r="AF617" s="17"/>
      <c r="AG617" s="17"/>
      <c r="AH617" s="17"/>
      <c r="AI617" s="17"/>
      <c r="AJ617" s="17"/>
      <c r="AK617" s="17"/>
      <c r="AL617" s="19"/>
      <c r="AM617" s="19"/>
      <c r="AN617" s="19"/>
      <c r="AO617" s="19"/>
    </row>
    <row r="618" spans="16:41" x14ac:dyDescent="0.2">
      <c r="P618" s="17"/>
      <c r="Q618" s="17"/>
      <c r="R618" s="17"/>
      <c r="S618" s="17"/>
      <c r="T618" s="17"/>
      <c r="U618" s="17"/>
      <c r="V618" s="17"/>
      <c r="W618" s="17"/>
      <c r="X618" s="17"/>
      <c r="Y618" s="17"/>
      <c r="Z618" s="17"/>
      <c r="AA618" s="17"/>
      <c r="AB618" s="17"/>
      <c r="AC618" s="17"/>
      <c r="AD618" s="17"/>
      <c r="AE618" s="17"/>
      <c r="AF618" s="17"/>
      <c r="AG618" s="17"/>
      <c r="AH618" s="17"/>
      <c r="AI618" s="17"/>
      <c r="AJ618" s="17"/>
      <c r="AK618" s="17"/>
      <c r="AL618" s="19"/>
      <c r="AM618" s="19"/>
      <c r="AN618" s="19"/>
      <c r="AO618" s="19"/>
    </row>
    <row r="619" spans="16:41" x14ac:dyDescent="0.2">
      <c r="P619" s="17"/>
      <c r="Q619" s="17"/>
      <c r="R619" s="17"/>
      <c r="S619" s="17"/>
      <c r="T619" s="17"/>
      <c r="U619" s="17"/>
      <c r="V619" s="17"/>
      <c r="W619" s="17"/>
      <c r="X619" s="17"/>
      <c r="Y619" s="17"/>
      <c r="Z619" s="17"/>
      <c r="AA619" s="17"/>
      <c r="AB619" s="17"/>
      <c r="AC619" s="17"/>
      <c r="AD619" s="17"/>
      <c r="AE619" s="17"/>
      <c r="AF619" s="17"/>
      <c r="AG619" s="17"/>
      <c r="AH619" s="17"/>
      <c r="AI619" s="17"/>
      <c r="AJ619" s="17"/>
      <c r="AK619" s="17"/>
      <c r="AL619" s="19"/>
      <c r="AM619" s="19"/>
      <c r="AN619" s="19"/>
      <c r="AO619" s="19"/>
    </row>
    <row r="620" spans="16:41" x14ac:dyDescent="0.2">
      <c r="P620" s="17"/>
      <c r="Q620" s="17"/>
      <c r="R620" s="17"/>
      <c r="S620" s="17"/>
      <c r="T620" s="17"/>
      <c r="U620" s="17"/>
      <c r="V620" s="17"/>
      <c r="W620" s="17"/>
      <c r="X620" s="17"/>
      <c r="Y620" s="17"/>
      <c r="Z620" s="17"/>
      <c r="AA620" s="17"/>
      <c r="AB620" s="17"/>
      <c r="AC620" s="17"/>
      <c r="AD620" s="17"/>
      <c r="AE620" s="17"/>
      <c r="AF620" s="17"/>
      <c r="AG620" s="17"/>
      <c r="AH620" s="17"/>
      <c r="AI620" s="17"/>
      <c r="AJ620" s="17"/>
      <c r="AK620" s="17"/>
      <c r="AL620" s="19"/>
      <c r="AM620" s="19"/>
      <c r="AN620" s="19"/>
      <c r="AO620" s="19"/>
    </row>
    <row r="621" spans="16:41" x14ac:dyDescent="0.2">
      <c r="X621" s="17"/>
      <c r="Y621" s="17"/>
      <c r="Z621" s="17"/>
      <c r="AA621" s="17"/>
      <c r="AB621" s="17"/>
      <c r="AC621" s="17"/>
      <c r="AD621" s="17"/>
      <c r="AE621" s="17"/>
      <c r="AF621" s="17"/>
      <c r="AG621" s="17"/>
      <c r="AH621" s="17"/>
      <c r="AI621" s="17"/>
      <c r="AJ621" s="17"/>
      <c r="AK621" s="17"/>
      <c r="AL621" s="19"/>
      <c r="AM621" s="19"/>
      <c r="AN621" s="19"/>
      <c r="AO621" s="19"/>
    </row>
    <row r="622" spans="16:41" x14ac:dyDescent="0.2">
      <c r="X622" s="17"/>
      <c r="Y622" s="17"/>
      <c r="Z622" s="17"/>
      <c r="AA622" s="17"/>
      <c r="AB622" s="17"/>
      <c r="AC622" s="17"/>
      <c r="AD622" s="17"/>
      <c r="AE622" s="17"/>
      <c r="AF622" s="17"/>
      <c r="AG622" s="17"/>
      <c r="AH622" s="17"/>
      <c r="AI622" s="17"/>
      <c r="AJ622" s="17"/>
      <c r="AK622" s="17"/>
      <c r="AL622" s="19"/>
      <c r="AM622" s="19"/>
      <c r="AN622" s="19"/>
      <c r="AO622" s="19"/>
    </row>
    <row r="623" spans="16:41" x14ac:dyDescent="0.2">
      <c r="X623" s="17"/>
      <c r="Y623" s="17"/>
      <c r="Z623" s="17"/>
      <c r="AA623" s="17"/>
      <c r="AB623" s="17"/>
      <c r="AC623" s="17"/>
      <c r="AD623" s="17"/>
      <c r="AE623" s="17"/>
      <c r="AF623" s="17"/>
      <c r="AG623" s="17"/>
      <c r="AH623" s="17"/>
      <c r="AI623" s="17"/>
      <c r="AJ623" s="17"/>
      <c r="AK623" s="17"/>
      <c r="AL623" s="19"/>
      <c r="AM623" s="19"/>
      <c r="AN623" s="19"/>
      <c r="AO623" s="19"/>
    </row>
    <row r="624" spans="16:41" x14ac:dyDescent="0.2">
      <c r="X624" s="17"/>
      <c r="Y624" s="17"/>
      <c r="Z624" s="17"/>
      <c r="AA624" s="17"/>
      <c r="AB624" s="17"/>
      <c r="AC624" s="17"/>
      <c r="AD624" s="17"/>
      <c r="AE624" s="17"/>
      <c r="AF624" s="17"/>
      <c r="AG624" s="17"/>
      <c r="AH624" s="17"/>
      <c r="AI624" s="17"/>
      <c r="AJ624" s="17"/>
      <c r="AK624" s="17"/>
      <c r="AL624" s="19"/>
      <c r="AM624" s="19"/>
      <c r="AN624" s="19"/>
      <c r="AO624" s="19"/>
    </row>
    <row r="625" spans="24:41" x14ac:dyDescent="0.2">
      <c r="X625" s="17"/>
      <c r="Y625" s="17"/>
      <c r="Z625" s="17"/>
      <c r="AA625" s="17"/>
      <c r="AB625" s="17"/>
      <c r="AC625" s="17"/>
      <c r="AD625" s="17"/>
      <c r="AE625" s="17"/>
      <c r="AF625" s="17"/>
      <c r="AG625" s="17"/>
      <c r="AH625" s="17"/>
      <c r="AI625" s="17"/>
      <c r="AJ625" s="17"/>
      <c r="AK625" s="17"/>
      <c r="AL625" s="19"/>
      <c r="AM625" s="19"/>
      <c r="AN625" s="19"/>
      <c r="AO625" s="19"/>
    </row>
    <row r="626" spans="24:41" x14ac:dyDescent="0.2">
      <c r="X626" s="17"/>
      <c r="Y626" s="17"/>
      <c r="Z626" s="17"/>
      <c r="AA626" s="17"/>
      <c r="AB626" s="17"/>
      <c r="AC626" s="17"/>
      <c r="AD626" s="17"/>
      <c r="AE626" s="17"/>
      <c r="AF626" s="17"/>
      <c r="AG626" s="17"/>
      <c r="AH626" s="17"/>
      <c r="AI626" s="17"/>
      <c r="AJ626" s="17"/>
      <c r="AK626" s="17"/>
      <c r="AL626" s="19"/>
      <c r="AM626" s="19"/>
      <c r="AN626" s="19"/>
      <c r="AO626" s="19"/>
    </row>
    <row r="627" spans="24:41" x14ac:dyDescent="0.2">
      <c r="X627" s="17"/>
      <c r="Y627" s="17"/>
      <c r="Z627" s="17"/>
      <c r="AA627" s="17"/>
      <c r="AB627" s="17"/>
      <c r="AC627" s="17"/>
      <c r="AD627" s="17"/>
      <c r="AE627" s="17"/>
      <c r="AF627" s="17"/>
      <c r="AG627" s="17"/>
      <c r="AH627" s="17"/>
      <c r="AI627" s="17"/>
      <c r="AJ627" s="17"/>
      <c r="AK627" s="17"/>
      <c r="AL627" s="19"/>
      <c r="AM627" s="19"/>
      <c r="AN627" s="19"/>
      <c r="AO627" s="19"/>
    </row>
    <row r="628" spans="24:41" x14ac:dyDescent="0.2">
      <c r="X628" s="17"/>
      <c r="Y628" s="17"/>
      <c r="Z628" s="17"/>
      <c r="AA628" s="17"/>
      <c r="AB628" s="17"/>
      <c r="AC628" s="17"/>
      <c r="AD628" s="17"/>
      <c r="AE628" s="17"/>
      <c r="AF628" s="17"/>
      <c r="AG628" s="17"/>
      <c r="AH628" s="17"/>
      <c r="AI628" s="17"/>
      <c r="AJ628" s="17"/>
      <c r="AK628" s="17"/>
      <c r="AL628" s="19"/>
      <c r="AM628" s="19"/>
      <c r="AN628" s="19"/>
      <c r="AO628" s="19"/>
    </row>
    <row r="629" spans="24:41" x14ac:dyDescent="0.2">
      <c r="X629" s="17"/>
      <c r="Y629" s="17"/>
      <c r="Z629" s="17"/>
      <c r="AA629" s="17"/>
      <c r="AB629" s="17"/>
      <c r="AC629" s="17"/>
      <c r="AD629" s="17"/>
      <c r="AE629" s="17"/>
      <c r="AF629" s="17"/>
      <c r="AG629" s="17"/>
      <c r="AH629" s="17"/>
      <c r="AI629" s="17"/>
      <c r="AJ629" s="17"/>
      <c r="AK629" s="17"/>
      <c r="AL629" s="19"/>
      <c r="AM629" s="19"/>
      <c r="AN629" s="19"/>
      <c r="AO629" s="19"/>
    </row>
    <row r="630" spans="24:41" x14ac:dyDescent="0.2">
      <c r="X630" s="17"/>
      <c r="Y630" s="17"/>
      <c r="Z630" s="17"/>
      <c r="AA630" s="17"/>
      <c r="AB630" s="17"/>
      <c r="AC630" s="17"/>
      <c r="AD630" s="17"/>
      <c r="AE630" s="17"/>
      <c r="AF630" s="17"/>
      <c r="AG630" s="17"/>
      <c r="AH630" s="17"/>
      <c r="AI630" s="17"/>
      <c r="AJ630" s="17"/>
      <c r="AK630" s="17"/>
      <c r="AL630" s="19"/>
      <c r="AM630" s="19"/>
      <c r="AN630" s="19"/>
      <c r="AO630" s="19"/>
    </row>
    <row r="631" spans="24:41" x14ac:dyDescent="0.2">
      <c r="X631" s="17"/>
      <c r="Y631" s="17"/>
      <c r="Z631" s="17"/>
      <c r="AA631" s="17"/>
      <c r="AB631" s="17"/>
      <c r="AC631" s="17"/>
      <c r="AD631" s="17"/>
      <c r="AE631" s="17"/>
      <c r="AF631" s="17"/>
      <c r="AG631" s="17"/>
      <c r="AH631" s="17"/>
      <c r="AI631" s="17"/>
      <c r="AJ631" s="17"/>
      <c r="AK631" s="17"/>
      <c r="AL631" s="19"/>
      <c r="AM631" s="19"/>
      <c r="AN631" s="19"/>
      <c r="AO631" s="19"/>
    </row>
    <row r="632" spans="24:41" x14ac:dyDescent="0.2">
      <c r="X632" s="17"/>
      <c r="Y632" s="17"/>
      <c r="Z632" s="17"/>
      <c r="AA632" s="17"/>
      <c r="AB632" s="17"/>
      <c r="AC632" s="17"/>
      <c r="AD632" s="17"/>
      <c r="AE632" s="17"/>
      <c r="AF632" s="17"/>
      <c r="AG632" s="17"/>
      <c r="AH632" s="17"/>
      <c r="AI632" s="17"/>
      <c r="AJ632" s="17"/>
      <c r="AK632" s="17"/>
      <c r="AL632" s="19"/>
      <c r="AM632" s="19"/>
      <c r="AN632" s="19"/>
      <c r="AO632" s="19"/>
    </row>
    <row r="633" spans="24:41" x14ac:dyDescent="0.2">
      <c r="X633" s="17"/>
      <c r="Y633" s="17"/>
      <c r="Z633" s="17"/>
      <c r="AA633" s="17"/>
      <c r="AB633" s="17"/>
      <c r="AC633" s="17"/>
      <c r="AD633" s="17"/>
      <c r="AE633" s="17"/>
      <c r="AF633" s="17"/>
      <c r="AG633" s="17"/>
      <c r="AH633" s="17"/>
      <c r="AI633" s="17"/>
      <c r="AJ633" s="17"/>
      <c r="AK633" s="17"/>
      <c r="AL633" s="19"/>
      <c r="AM633" s="19"/>
      <c r="AN633" s="19"/>
      <c r="AO633" s="19"/>
    </row>
    <row r="634" spans="24:41" x14ac:dyDescent="0.2">
      <c r="X634" s="17"/>
      <c r="Y634" s="17"/>
      <c r="Z634" s="17"/>
      <c r="AA634" s="17"/>
      <c r="AB634" s="17"/>
      <c r="AC634" s="17"/>
      <c r="AD634" s="17"/>
      <c r="AE634" s="17"/>
      <c r="AF634" s="17"/>
      <c r="AG634" s="17"/>
      <c r="AH634" s="17"/>
      <c r="AI634" s="17"/>
      <c r="AJ634" s="17"/>
      <c r="AK634" s="17"/>
      <c r="AL634" s="19"/>
      <c r="AM634" s="19"/>
      <c r="AN634" s="19"/>
      <c r="AO634" s="19"/>
    </row>
    <row r="635" spans="24:41" x14ac:dyDescent="0.2">
      <c r="X635" s="17"/>
      <c r="Y635" s="17"/>
      <c r="Z635" s="17"/>
      <c r="AA635" s="17"/>
      <c r="AB635" s="17"/>
      <c r="AC635" s="17"/>
      <c r="AD635" s="17"/>
      <c r="AE635" s="17"/>
      <c r="AF635" s="17"/>
      <c r="AG635" s="17"/>
      <c r="AH635" s="17"/>
      <c r="AI635" s="17"/>
      <c r="AJ635" s="17"/>
      <c r="AK635" s="17"/>
      <c r="AL635" s="19"/>
      <c r="AM635" s="19"/>
      <c r="AN635" s="19"/>
      <c r="AO635" s="19"/>
    </row>
    <row r="636" spans="24:41" x14ac:dyDescent="0.2">
      <c r="X636" s="17"/>
      <c r="Y636" s="17"/>
      <c r="Z636" s="17"/>
      <c r="AA636" s="17"/>
      <c r="AB636" s="17"/>
      <c r="AC636" s="17"/>
      <c r="AD636" s="17"/>
      <c r="AE636" s="17"/>
      <c r="AF636" s="17"/>
      <c r="AG636" s="17"/>
      <c r="AH636" s="17"/>
      <c r="AI636" s="17"/>
      <c r="AJ636" s="17"/>
      <c r="AK636" s="17"/>
      <c r="AL636" s="19"/>
      <c r="AM636" s="19"/>
      <c r="AN636" s="19"/>
      <c r="AO636" s="19"/>
    </row>
    <row r="637" spans="24:41" x14ac:dyDescent="0.2">
      <c r="X637" s="17"/>
      <c r="Y637" s="17"/>
      <c r="Z637" s="17"/>
      <c r="AA637" s="17"/>
      <c r="AB637" s="17"/>
      <c r="AC637" s="17"/>
      <c r="AD637" s="17"/>
      <c r="AE637" s="17"/>
      <c r="AF637" s="17"/>
      <c r="AG637" s="17"/>
      <c r="AH637" s="17"/>
      <c r="AI637" s="17"/>
      <c r="AJ637" s="17"/>
      <c r="AK637" s="17"/>
      <c r="AL637" s="19"/>
      <c r="AM637" s="19"/>
      <c r="AN637" s="19"/>
      <c r="AO637" s="19"/>
    </row>
    <row r="638" spans="24:41" x14ac:dyDescent="0.2">
      <c r="X638" s="17"/>
      <c r="Y638" s="17"/>
      <c r="Z638" s="17"/>
      <c r="AA638" s="17"/>
      <c r="AB638" s="17"/>
      <c r="AC638" s="17"/>
      <c r="AD638" s="17"/>
      <c r="AE638" s="17"/>
      <c r="AF638" s="17"/>
      <c r="AG638" s="17"/>
      <c r="AH638" s="17"/>
      <c r="AI638" s="17"/>
      <c r="AJ638" s="17"/>
      <c r="AK638" s="17"/>
      <c r="AL638" s="19"/>
      <c r="AM638" s="19"/>
      <c r="AN638" s="19"/>
      <c r="AO638" s="19"/>
    </row>
    <row r="639" spans="24:41" x14ac:dyDescent="0.2">
      <c r="X639" s="17"/>
      <c r="Y639" s="17"/>
      <c r="Z639" s="17"/>
      <c r="AA639" s="17"/>
      <c r="AB639" s="17"/>
      <c r="AC639" s="17"/>
      <c r="AD639" s="17"/>
      <c r="AE639" s="17"/>
      <c r="AF639" s="17"/>
      <c r="AG639" s="17"/>
      <c r="AH639" s="17"/>
      <c r="AI639" s="17"/>
      <c r="AJ639" s="17"/>
      <c r="AK639" s="17"/>
      <c r="AL639" s="19"/>
      <c r="AM639" s="19"/>
      <c r="AN639" s="19"/>
      <c r="AO639" s="19"/>
    </row>
    <row r="640" spans="24:41" x14ac:dyDescent="0.2">
      <c r="X640" s="17"/>
      <c r="Y640" s="17"/>
      <c r="Z640" s="17"/>
      <c r="AA640" s="17"/>
      <c r="AB640" s="17"/>
      <c r="AC640" s="17"/>
      <c r="AD640" s="17"/>
      <c r="AE640" s="17"/>
      <c r="AF640" s="17"/>
      <c r="AG640" s="17"/>
      <c r="AH640" s="17"/>
      <c r="AI640" s="17"/>
      <c r="AJ640" s="17"/>
      <c r="AK640" s="17"/>
      <c r="AL640" s="19"/>
      <c r="AM640" s="19"/>
      <c r="AN640" s="19"/>
      <c r="AO640" s="19"/>
    </row>
    <row r="641" spans="16:41" x14ac:dyDescent="0.2">
      <c r="X641" s="17"/>
      <c r="Y641" s="17"/>
      <c r="Z641" s="17"/>
      <c r="AA641" s="17"/>
      <c r="AB641" s="17"/>
      <c r="AC641" s="17"/>
      <c r="AD641" s="17"/>
      <c r="AE641" s="17"/>
      <c r="AF641" s="17"/>
      <c r="AG641" s="17"/>
      <c r="AH641" s="17"/>
      <c r="AI641" s="17"/>
      <c r="AJ641" s="17"/>
      <c r="AK641" s="17"/>
      <c r="AL641" s="19"/>
      <c r="AM641" s="19"/>
      <c r="AN641" s="19"/>
      <c r="AO641" s="19"/>
    </row>
    <row r="642" spans="16:41" x14ac:dyDescent="0.2">
      <c r="X642" s="17"/>
      <c r="Y642" s="17"/>
      <c r="Z642" s="17"/>
      <c r="AA642" s="17"/>
      <c r="AB642" s="17"/>
      <c r="AC642" s="17"/>
      <c r="AD642" s="17"/>
      <c r="AE642" s="17"/>
      <c r="AF642" s="17"/>
      <c r="AG642" s="17"/>
      <c r="AH642" s="17"/>
      <c r="AI642" s="17"/>
      <c r="AJ642" s="17"/>
      <c r="AK642" s="17"/>
      <c r="AL642" s="19"/>
      <c r="AM642" s="19"/>
      <c r="AN642" s="19"/>
      <c r="AO642" s="19"/>
    </row>
    <row r="643" spans="16:41" x14ac:dyDescent="0.2">
      <c r="P643" s="17"/>
      <c r="Q643" s="17"/>
      <c r="R643" s="17"/>
      <c r="S643" s="17"/>
      <c r="T643" s="17"/>
      <c r="U643" s="17"/>
      <c r="V643" s="17"/>
      <c r="W643" s="17"/>
      <c r="X643" s="17"/>
      <c r="Y643" s="17"/>
      <c r="Z643" s="17"/>
      <c r="AA643" s="17"/>
      <c r="AB643" s="17"/>
      <c r="AC643" s="17"/>
      <c r="AD643" s="17"/>
      <c r="AE643" s="17"/>
      <c r="AF643" s="17"/>
      <c r="AG643" s="17"/>
      <c r="AH643" s="17"/>
      <c r="AI643" s="17"/>
      <c r="AJ643" s="17"/>
      <c r="AK643" s="17"/>
      <c r="AL643" s="19"/>
      <c r="AM643" s="19"/>
      <c r="AN643" s="19"/>
      <c r="AO643" s="19"/>
    </row>
    <row r="644" spans="16:41" x14ac:dyDescent="0.2">
      <c r="P644" s="17"/>
      <c r="Q644" s="17"/>
      <c r="R644" s="17"/>
      <c r="S644" s="17"/>
      <c r="T644" s="17"/>
      <c r="U644" s="17"/>
      <c r="V644" s="17"/>
      <c r="W644" s="17"/>
      <c r="X644" s="17"/>
      <c r="Y644" s="17"/>
      <c r="Z644" s="17"/>
      <c r="AA644" s="17"/>
      <c r="AB644" s="17"/>
      <c r="AC644" s="17"/>
      <c r="AD644" s="17"/>
      <c r="AE644" s="17"/>
      <c r="AF644" s="17"/>
      <c r="AG644" s="17"/>
      <c r="AH644" s="17"/>
      <c r="AI644" s="17"/>
      <c r="AJ644" s="17"/>
      <c r="AK644" s="17"/>
      <c r="AL644" s="19"/>
      <c r="AM644" s="19"/>
      <c r="AN644" s="19"/>
      <c r="AO644" s="19"/>
    </row>
    <row r="645" spans="16:41" x14ac:dyDescent="0.2">
      <c r="P645" s="17"/>
      <c r="Q645" s="17"/>
      <c r="R645" s="17"/>
      <c r="S645" s="17"/>
      <c r="T645" s="17"/>
      <c r="U645" s="17"/>
      <c r="V645" s="17"/>
      <c r="W645" s="17"/>
      <c r="X645" s="17"/>
      <c r="Y645" s="17"/>
      <c r="Z645" s="17"/>
      <c r="AA645" s="17"/>
      <c r="AB645" s="17"/>
      <c r="AC645" s="17"/>
      <c r="AD645" s="17"/>
      <c r="AE645" s="17"/>
      <c r="AF645" s="17"/>
      <c r="AG645" s="17"/>
      <c r="AH645" s="17"/>
      <c r="AI645" s="17"/>
      <c r="AJ645" s="17"/>
      <c r="AK645" s="17"/>
      <c r="AL645" s="19"/>
      <c r="AM645" s="19"/>
      <c r="AN645" s="19"/>
      <c r="AO645" s="19"/>
    </row>
    <row r="646" spans="16:41" x14ac:dyDescent="0.2">
      <c r="P646" s="17"/>
      <c r="Q646" s="17"/>
      <c r="R646" s="17"/>
      <c r="S646" s="17"/>
      <c r="T646" s="17"/>
      <c r="U646" s="17"/>
      <c r="V646" s="17"/>
      <c r="W646" s="17"/>
      <c r="X646" s="17"/>
      <c r="Y646" s="17"/>
      <c r="Z646" s="17"/>
      <c r="AA646" s="17"/>
      <c r="AB646" s="17"/>
      <c r="AC646" s="17"/>
      <c r="AD646" s="17"/>
      <c r="AE646" s="17"/>
      <c r="AF646" s="17"/>
      <c r="AG646" s="17"/>
      <c r="AH646" s="17"/>
      <c r="AI646" s="17"/>
      <c r="AJ646" s="17"/>
      <c r="AK646" s="17"/>
      <c r="AL646" s="19"/>
      <c r="AM646" s="19"/>
      <c r="AN646" s="19"/>
      <c r="AO646" s="19"/>
    </row>
    <row r="647" spans="16:41" x14ac:dyDescent="0.2">
      <c r="P647" s="17"/>
      <c r="Q647" s="17"/>
      <c r="R647" s="17"/>
      <c r="S647" s="17"/>
      <c r="T647" s="17"/>
      <c r="U647" s="17"/>
      <c r="V647" s="17"/>
      <c r="W647" s="17"/>
      <c r="X647" s="17"/>
      <c r="Y647" s="17"/>
      <c r="Z647" s="17"/>
      <c r="AA647" s="17"/>
      <c r="AB647" s="17"/>
      <c r="AC647" s="17"/>
      <c r="AD647" s="17"/>
      <c r="AE647" s="17"/>
      <c r="AF647" s="17"/>
      <c r="AG647" s="17"/>
      <c r="AH647" s="17"/>
      <c r="AI647" s="17"/>
      <c r="AJ647" s="17"/>
      <c r="AK647" s="17"/>
      <c r="AL647" s="19"/>
      <c r="AM647" s="19"/>
      <c r="AN647" s="19"/>
      <c r="AO647" s="19"/>
    </row>
    <row r="648" spans="16:41" x14ac:dyDescent="0.2">
      <c r="P648" s="17"/>
      <c r="Q648" s="17"/>
      <c r="R648" s="17"/>
      <c r="S648" s="17"/>
      <c r="T648" s="17"/>
      <c r="U648" s="17"/>
      <c r="V648" s="17"/>
      <c r="W648" s="17"/>
      <c r="X648" s="17"/>
      <c r="Y648" s="17"/>
      <c r="Z648" s="17"/>
      <c r="AA648" s="17"/>
      <c r="AB648" s="17"/>
      <c r="AC648" s="17"/>
      <c r="AD648" s="17"/>
      <c r="AE648" s="17"/>
      <c r="AF648" s="17"/>
      <c r="AG648" s="17"/>
      <c r="AH648" s="17"/>
      <c r="AI648" s="17"/>
      <c r="AJ648" s="17"/>
      <c r="AK648" s="17"/>
      <c r="AL648" s="19"/>
      <c r="AM648" s="19"/>
      <c r="AN648" s="19"/>
      <c r="AO648" s="19"/>
    </row>
    <row r="649" spans="16:41" x14ac:dyDescent="0.2">
      <c r="P649" s="17"/>
      <c r="Q649" s="17"/>
      <c r="R649" s="17"/>
      <c r="S649" s="17"/>
      <c r="T649" s="17"/>
      <c r="U649" s="17"/>
      <c r="V649" s="17"/>
      <c r="W649" s="17"/>
      <c r="X649" s="17"/>
      <c r="Y649" s="17"/>
      <c r="Z649" s="17"/>
      <c r="AA649" s="17"/>
      <c r="AB649" s="17"/>
      <c r="AC649" s="17"/>
      <c r="AD649" s="17"/>
      <c r="AE649" s="17"/>
      <c r="AF649" s="17"/>
      <c r="AG649" s="17"/>
      <c r="AH649" s="17"/>
      <c r="AI649" s="17"/>
      <c r="AJ649" s="17"/>
      <c r="AK649" s="17"/>
      <c r="AL649" s="19"/>
      <c r="AM649" s="19"/>
      <c r="AN649" s="19"/>
      <c r="AO649" s="19"/>
    </row>
    <row r="650" spans="16:41" x14ac:dyDescent="0.2">
      <c r="P650" s="17"/>
      <c r="Q650" s="17"/>
      <c r="R650" s="17"/>
      <c r="S650" s="17"/>
      <c r="T650" s="17"/>
      <c r="U650" s="17"/>
      <c r="V650" s="17"/>
      <c r="W650" s="17"/>
      <c r="X650" s="17"/>
      <c r="Y650" s="17"/>
      <c r="Z650" s="17"/>
      <c r="AA650" s="17"/>
      <c r="AB650" s="17"/>
      <c r="AC650" s="17"/>
      <c r="AD650" s="17"/>
      <c r="AE650" s="17"/>
      <c r="AF650" s="17"/>
      <c r="AG650" s="17"/>
      <c r="AH650" s="17"/>
      <c r="AI650" s="17"/>
      <c r="AJ650" s="17"/>
      <c r="AK650" s="17"/>
      <c r="AL650" s="19"/>
      <c r="AM650" s="19"/>
      <c r="AN650" s="19"/>
      <c r="AO650" s="19"/>
    </row>
    <row r="651" spans="16:41" x14ac:dyDescent="0.2">
      <c r="P651" s="17"/>
      <c r="Q651" s="17"/>
      <c r="R651" s="17"/>
      <c r="S651" s="17"/>
      <c r="T651" s="17"/>
      <c r="U651" s="17"/>
      <c r="V651" s="17"/>
      <c r="W651" s="17"/>
      <c r="X651" s="17"/>
      <c r="Y651" s="17"/>
      <c r="Z651" s="17"/>
      <c r="AA651" s="17"/>
      <c r="AB651" s="17"/>
      <c r="AC651" s="17"/>
      <c r="AD651" s="17"/>
      <c r="AE651" s="17"/>
      <c r="AF651" s="17"/>
      <c r="AG651" s="17"/>
      <c r="AH651" s="17"/>
      <c r="AI651" s="17"/>
      <c r="AJ651" s="17"/>
      <c r="AK651" s="17"/>
      <c r="AL651" s="19"/>
      <c r="AM651" s="19"/>
      <c r="AN651" s="19"/>
      <c r="AO651" s="19"/>
    </row>
    <row r="652" spans="16:41" x14ac:dyDescent="0.2">
      <c r="P652" s="17"/>
      <c r="Q652" s="17"/>
      <c r="R652" s="17"/>
      <c r="S652" s="17"/>
      <c r="T652" s="17"/>
      <c r="U652" s="17"/>
      <c r="V652" s="17"/>
      <c r="W652" s="17"/>
      <c r="X652" s="17"/>
      <c r="Y652" s="17"/>
      <c r="Z652" s="17"/>
      <c r="AA652" s="17"/>
      <c r="AB652" s="17"/>
      <c r="AC652" s="17"/>
      <c r="AD652" s="17"/>
      <c r="AE652" s="17"/>
      <c r="AF652" s="17"/>
      <c r="AG652" s="17"/>
      <c r="AH652" s="17"/>
      <c r="AI652" s="17"/>
      <c r="AJ652" s="17"/>
      <c r="AK652" s="17"/>
      <c r="AL652" s="19"/>
      <c r="AM652" s="19"/>
      <c r="AN652" s="19"/>
      <c r="AO652" s="19"/>
    </row>
    <row r="653" spans="16:41" x14ac:dyDescent="0.2">
      <c r="P653" s="17"/>
      <c r="Q653" s="17"/>
      <c r="R653" s="17"/>
      <c r="S653" s="17"/>
      <c r="T653" s="17"/>
      <c r="U653" s="17"/>
      <c r="V653" s="17"/>
      <c r="W653" s="17"/>
      <c r="X653" s="17"/>
      <c r="Y653" s="17"/>
      <c r="Z653" s="17"/>
      <c r="AA653" s="17"/>
      <c r="AB653" s="17"/>
      <c r="AC653" s="17"/>
      <c r="AD653" s="17"/>
      <c r="AE653" s="17"/>
      <c r="AF653" s="17"/>
      <c r="AG653" s="17"/>
      <c r="AH653" s="17"/>
      <c r="AI653" s="17"/>
      <c r="AJ653" s="17"/>
      <c r="AK653" s="17"/>
      <c r="AL653" s="19"/>
      <c r="AM653" s="19"/>
      <c r="AN653" s="19"/>
      <c r="AO653" s="19"/>
    </row>
    <row r="654" spans="16:41" x14ac:dyDescent="0.2">
      <c r="P654" s="17"/>
      <c r="Q654" s="17"/>
      <c r="R654" s="17"/>
      <c r="S654" s="17"/>
      <c r="T654" s="17"/>
      <c r="U654" s="17"/>
      <c r="V654" s="17"/>
      <c r="W654" s="17"/>
      <c r="X654" s="17"/>
      <c r="Y654" s="17"/>
      <c r="Z654" s="17"/>
      <c r="AA654" s="17"/>
      <c r="AB654" s="17"/>
      <c r="AC654" s="17"/>
      <c r="AD654" s="17"/>
      <c r="AE654" s="17"/>
      <c r="AF654" s="17"/>
      <c r="AG654" s="17"/>
      <c r="AH654" s="17"/>
      <c r="AI654" s="17"/>
      <c r="AJ654" s="17"/>
      <c r="AK654" s="17"/>
      <c r="AL654" s="19"/>
      <c r="AM654" s="19"/>
      <c r="AN654" s="19"/>
      <c r="AO654" s="19"/>
    </row>
    <row r="655" spans="16:41" x14ac:dyDescent="0.2">
      <c r="P655" s="17"/>
      <c r="Q655" s="17"/>
      <c r="R655" s="17"/>
      <c r="S655" s="17"/>
      <c r="T655" s="17"/>
      <c r="U655" s="17"/>
      <c r="V655" s="17"/>
      <c r="W655" s="17"/>
      <c r="X655" s="17"/>
      <c r="Y655" s="17"/>
      <c r="Z655" s="17"/>
      <c r="AA655" s="17"/>
      <c r="AB655" s="17"/>
      <c r="AC655" s="17"/>
      <c r="AD655" s="17"/>
      <c r="AE655" s="17"/>
      <c r="AF655" s="17"/>
      <c r="AG655" s="17"/>
      <c r="AH655" s="17"/>
      <c r="AI655" s="17"/>
      <c r="AJ655" s="17"/>
      <c r="AK655" s="17"/>
      <c r="AL655" s="19"/>
      <c r="AM655" s="19"/>
      <c r="AN655" s="19"/>
      <c r="AO655" s="19"/>
    </row>
    <row r="656" spans="16:41" x14ac:dyDescent="0.2">
      <c r="P656" s="17"/>
      <c r="Q656" s="17"/>
      <c r="R656" s="17"/>
      <c r="S656" s="17"/>
      <c r="T656" s="17"/>
      <c r="U656" s="17"/>
      <c r="V656" s="17"/>
      <c r="W656" s="17"/>
      <c r="X656" s="17"/>
      <c r="Y656" s="17"/>
      <c r="Z656" s="17"/>
      <c r="AA656" s="17"/>
      <c r="AB656" s="17"/>
      <c r="AC656" s="17"/>
      <c r="AD656" s="17"/>
      <c r="AE656" s="17"/>
      <c r="AF656" s="17"/>
      <c r="AG656" s="17"/>
      <c r="AH656" s="17"/>
      <c r="AI656" s="17"/>
      <c r="AJ656" s="17"/>
      <c r="AK656" s="17"/>
      <c r="AL656" s="19"/>
      <c r="AM656" s="19"/>
      <c r="AN656" s="19"/>
      <c r="AO656" s="19"/>
    </row>
    <row r="657" spans="16:41" x14ac:dyDescent="0.2">
      <c r="P657" s="17"/>
      <c r="Q657" s="17"/>
      <c r="R657" s="17"/>
      <c r="S657" s="17"/>
      <c r="T657" s="17"/>
      <c r="U657" s="17"/>
      <c r="V657" s="17"/>
      <c r="W657" s="17"/>
      <c r="X657" s="17"/>
      <c r="Y657" s="17"/>
      <c r="Z657" s="17"/>
      <c r="AA657" s="17"/>
      <c r="AB657" s="17"/>
      <c r="AC657" s="17"/>
      <c r="AD657" s="17"/>
      <c r="AE657" s="17"/>
      <c r="AF657" s="17"/>
      <c r="AG657" s="17"/>
      <c r="AH657" s="17"/>
      <c r="AI657" s="17"/>
      <c r="AJ657" s="17"/>
      <c r="AK657" s="17"/>
      <c r="AL657" s="19"/>
      <c r="AM657" s="19"/>
      <c r="AN657" s="19"/>
      <c r="AO657" s="19"/>
    </row>
    <row r="658" spans="16:41" x14ac:dyDescent="0.2">
      <c r="P658" s="17"/>
      <c r="Q658" s="17"/>
      <c r="R658" s="17"/>
      <c r="S658" s="17"/>
      <c r="T658" s="17"/>
      <c r="U658" s="17"/>
      <c r="V658" s="17"/>
      <c r="W658" s="17"/>
      <c r="X658" s="17"/>
      <c r="Y658" s="17"/>
      <c r="Z658" s="17"/>
      <c r="AA658" s="17"/>
      <c r="AB658" s="17"/>
      <c r="AC658" s="17"/>
      <c r="AD658" s="17"/>
      <c r="AE658" s="17"/>
      <c r="AF658" s="17"/>
      <c r="AG658" s="17"/>
      <c r="AH658" s="17"/>
      <c r="AI658" s="17"/>
      <c r="AJ658" s="17"/>
      <c r="AK658" s="17"/>
      <c r="AL658" s="19"/>
      <c r="AM658" s="19"/>
      <c r="AN658" s="19"/>
      <c r="AO658" s="19"/>
    </row>
    <row r="659" spans="16:41" x14ac:dyDescent="0.2">
      <c r="P659" s="17"/>
      <c r="Q659" s="17"/>
      <c r="R659" s="17"/>
      <c r="S659" s="17"/>
      <c r="T659" s="17"/>
      <c r="U659" s="17"/>
      <c r="V659" s="17"/>
      <c r="W659" s="17"/>
      <c r="X659" s="17"/>
      <c r="Y659" s="17"/>
      <c r="Z659" s="17"/>
      <c r="AA659" s="17"/>
      <c r="AB659" s="17"/>
      <c r="AC659" s="17"/>
      <c r="AD659" s="17"/>
      <c r="AE659" s="17"/>
      <c r="AF659" s="17"/>
      <c r="AG659" s="17"/>
      <c r="AH659" s="17"/>
      <c r="AI659" s="17"/>
      <c r="AJ659" s="17"/>
      <c r="AK659" s="17"/>
      <c r="AL659" s="19"/>
      <c r="AM659" s="19"/>
      <c r="AN659" s="19"/>
      <c r="AO659" s="19"/>
    </row>
    <row r="660" spans="16:41" x14ac:dyDescent="0.2">
      <c r="P660" s="17"/>
      <c r="Q660" s="17"/>
      <c r="R660" s="17"/>
      <c r="S660" s="17"/>
      <c r="T660" s="17"/>
      <c r="U660" s="17"/>
      <c r="V660" s="17"/>
      <c r="W660" s="17"/>
      <c r="X660" s="17"/>
      <c r="Y660" s="17"/>
      <c r="Z660" s="17"/>
      <c r="AA660" s="17"/>
      <c r="AB660" s="17"/>
      <c r="AC660" s="17"/>
      <c r="AD660" s="17"/>
      <c r="AE660" s="17"/>
      <c r="AF660" s="17"/>
      <c r="AG660" s="17"/>
      <c r="AH660" s="17"/>
      <c r="AI660" s="17"/>
      <c r="AJ660" s="17"/>
      <c r="AK660" s="17"/>
      <c r="AL660" s="19"/>
      <c r="AM660" s="19"/>
      <c r="AN660" s="19"/>
      <c r="AO660" s="19"/>
    </row>
    <row r="661" spans="16:41" x14ac:dyDescent="0.2">
      <c r="P661" s="17"/>
      <c r="Q661" s="17"/>
      <c r="R661" s="17"/>
      <c r="S661" s="17"/>
      <c r="T661" s="17"/>
      <c r="U661" s="17"/>
      <c r="V661" s="17"/>
      <c r="W661" s="17"/>
      <c r="X661" s="17"/>
      <c r="Y661" s="17"/>
      <c r="Z661" s="17"/>
      <c r="AA661" s="17"/>
      <c r="AB661" s="17"/>
      <c r="AC661" s="17"/>
      <c r="AD661" s="17"/>
      <c r="AE661" s="17"/>
      <c r="AF661" s="17"/>
      <c r="AG661" s="17"/>
      <c r="AH661" s="17"/>
      <c r="AI661" s="17"/>
      <c r="AJ661" s="17"/>
      <c r="AK661" s="17"/>
      <c r="AL661" s="19"/>
      <c r="AM661" s="19"/>
      <c r="AN661" s="19"/>
      <c r="AO661" s="19"/>
    </row>
    <row r="662" spans="16:41" x14ac:dyDescent="0.2">
      <c r="P662" s="17"/>
      <c r="Q662" s="17"/>
      <c r="R662" s="17"/>
      <c r="S662" s="17"/>
      <c r="T662" s="17"/>
      <c r="U662" s="17"/>
      <c r="V662" s="17"/>
      <c r="W662" s="17"/>
      <c r="X662" s="17"/>
      <c r="Y662" s="17"/>
      <c r="Z662" s="17"/>
      <c r="AA662" s="17"/>
      <c r="AB662" s="17"/>
      <c r="AC662" s="17"/>
      <c r="AD662" s="17"/>
      <c r="AE662" s="17"/>
      <c r="AF662" s="17"/>
      <c r="AG662" s="17"/>
      <c r="AH662" s="17"/>
      <c r="AI662" s="17"/>
      <c r="AJ662" s="17"/>
      <c r="AK662" s="17"/>
      <c r="AL662" s="19"/>
      <c r="AM662" s="19"/>
      <c r="AN662" s="19"/>
      <c r="AO662" s="19"/>
    </row>
    <row r="663" spans="16:41" x14ac:dyDescent="0.2">
      <c r="P663" s="17"/>
      <c r="Q663" s="17"/>
      <c r="R663" s="17"/>
      <c r="S663" s="17"/>
      <c r="T663" s="17"/>
      <c r="U663" s="17"/>
      <c r="V663" s="17"/>
      <c r="W663" s="17"/>
      <c r="X663" s="17"/>
      <c r="Y663" s="17"/>
      <c r="Z663" s="17"/>
      <c r="AA663" s="17"/>
      <c r="AB663" s="17"/>
      <c r="AC663" s="17"/>
      <c r="AD663" s="17"/>
      <c r="AE663" s="17"/>
      <c r="AF663" s="17"/>
      <c r="AG663" s="17"/>
      <c r="AH663" s="17"/>
      <c r="AI663" s="17"/>
      <c r="AJ663" s="17"/>
      <c r="AK663" s="17"/>
      <c r="AL663" s="19"/>
      <c r="AM663" s="19"/>
      <c r="AN663" s="19"/>
      <c r="AO663" s="19"/>
    </row>
    <row r="664" spans="16:41" x14ac:dyDescent="0.2">
      <c r="P664" s="17"/>
      <c r="Q664" s="17"/>
      <c r="R664" s="17"/>
      <c r="S664" s="17"/>
      <c r="T664" s="17"/>
      <c r="U664" s="17"/>
      <c r="V664" s="17"/>
      <c r="W664" s="17"/>
      <c r="X664" s="17"/>
      <c r="Y664" s="17"/>
      <c r="Z664" s="17"/>
      <c r="AA664" s="17"/>
      <c r="AB664" s="17"/>
      <c r="AC664" s="17"/>
      <c r="AD664" s="17"/>
      <c r="AE664" s="17"/>
      <c r="AF664" s="17"/>
      <c r="AG664" s="17"/>
      <c r="AH664" s="17"/>
      <c r="AI664" s="17"/>
      <c r="AJ664" s="17"/>
      <c r="AK664" s="17"/>
      <c r="AL664" s="19"/>
      <c r="AM664" s="19"/>
      <c r="AN664" s="19"/>
      <c r="AO664" s="19"/>
    </row>
    <row r="665" spans="16:41" x14ac:dyDescent="0.2">
      <c r="P665" s="17"/>
      <c r="Q665" s="17"/>
      <c r="R665" s="17"/>
      <c r="S665" s="17"/>
      <c r="T665" s="17"/>
      <c r="U665" s="17"/>
      <c r="V665" s="17"/>
      <c r="W665" s="17"/>
      <c r="X665" s="17"/>
      <c r="Y665" s="17"/>
      <c r="Z665" s="17"/>
      <c r="AA665" s="17"/>
      <c r="AB665" s="17"/>
      <c r="AC665" s="17"/>
      <c r="AD665" s="17"/>
      <c r="AE665" s="17"/>
      <c r="AF665" s="17"/>
      <c r="AG665" s="17"/>
      <c r="AH665" s="17"/>
      <c r="AI665" s="17"/>
      <c r="AJ665" s="17"/>
      <c r="AK665" s="17"/>
      <c r="AL665" s="19"/>
      <c r="AM665" s="19"/>
      <c r="AN665" s="19"/>
      <c r="AO665" s="19"/>
    </row>
    <row r="666" spans="16:41" x14ac:dyDescent="0.2">
      <c r="P666" s="17"/>
      <c r="Q666" s="17"/>
      <c r="R666" s="17"/>
      <c r="S666" s="17"/>
      <c r="T666" s="17"/>
      <c r="U666" s="17"/>
      <c r="V666" s="17"/>
      <c r="W666" s="17"/>
      <c r="X666" s="17"/>
      <c r="Y666" s="17"/>
      <c r="Z666" s="17"/>
      <c r="AA666" s="17"/>
      <c r="AB666" s="17"/>
      <c r="AC666" s="17"/>
      <c r="AD666" s="17"/>
      <c r="AE666" s="17"/>
      <c r="AF666" s="17"/>
      <c r="AG666" s="17"/>
      <c r="AH666" s="17"/>
      <c r="AI666" s="17"/>
      <c r="AJ666" s="17"/>
      <c r="AK666" s="17"/>
      <c r="AL666" s="19"/>
      <c r="AM666" s="19"/>
      <c r="AN666" s="19"/>
      <c r="AO666" s="19"/>
    </row>
    <row r="667" spans="16:41" x14ac:dyDescent="0.2">
      <c r="P667" s="17"/>
      <c r="Q667" s="17"/>
      <c r="R667" s="17"/>
      <c r="S667" s="17"/>
      <c r="T667" s="17"/>
      <c r="U667" s="17"/>
      <c r="V667" s="17"/>
      <c r="W667" s="17"/>
      <c r="X667" s="17"/>
      <c r="Y667" s="17"/>
      <c r="Z667" s="17"/>
      <c r="AA667" s="17"/>
      <c r="AB667" s="17"/>
      <c r="AC667" s="17"/>
      <c r="AD667" s="17"/>
      <c r="AE667" s="17"/>
      <c r="AF667" s="17"/>
      <c r="AG667" s="17"/>
      <c r="AH667" s="17"/>
      <c r="AI667" s="17"/>
      <c r="AJ667" s="17"/>
      <c r="AK667" s="17"/>
      <c r="AL667" s="19"/>
      <c r="AM667" s="19"/>
      <c r="AN667" s="19"/>
      <c r="AO667" s="19"/>
    </row>
    <row r="668" spans="16:41" x14ac:dyDescent="0.2">
      <c r="P668" s="17"/>
      <c r="Q668" s="17"/>
      <c r="R668" s="17"/>
      <c r="S668" s="17"/>
      <c r="T668" s="17"/>
      <c r="U668" s="17"/>
      <c r="V668" s="17"/>
      <c r="W668" s="17"/>
      <c r="X668" s="17"/>
      <c r="Y668" s="17"/>
      <c r="Z668" s="17"/>
      <c r="AA668" s="17"/>
      <c r="AB668" s="17"/>
      <c r="AC668" s="17"/>
      <c r="AD668" s="17"/>
      <c r="AE668" s="17"/>
      <c r="AF668" s="17"/>
      <c r="AG668" s="17"/>
      <c r="AH668" s="17"/>
      <c r="AI668" s="17"/>
      <c r="AJ668" s="17"/>
      <c r="AK668" s="17"/>
      <c r="AL668" s="19"/>
      <c r="AM668" s="19"/>
      <c r="AN668" s="19"/>
      <c r="AO668" s="19"/>
    </row>
    <row r="669" spans="16:41" x14ac:dyDescent="0.2">
      <c r="P669" s="17"/>
      <c r="Q669" s="17"/>
      <c r="R669" s="17"/>
      <c r="S669" s="17"/>
      <c r="T669" s="17"/>
      <c r="U669" s="17"/>
      <c r="V669" s="17"/>
      <c r="W669" s="17"/>
      <c r="X669" s="17"/>
      <c r="Y669" s="17"/>
      <c r="Z669" s="17"/>
      <c r="AA669" s="17"/>
      <c r="AB669" s="17"/>
      <c r="AC669" s="17"/>
      <c r="AD669" s="17"/>
      <c r="AE669" s="17"/>
      <c r="AF669" s="17"/>
      <c r="AG669" s="17"/>
      <c r="AH669" s="17"/>
      <c r="AI669" s="17"/>
      <c r="AJ669" s="17"/>
      <c r="AK669" s="17"/>
      <c r="AL669" s="19"/>
      <c r="AM669" s="19"/>
      <c r="AN669" s="19"/>
      <c r="AO669" s="19"/>
    </row>
    <row r="670" spans="16:41" x14ac:dyDescent="0.2">
      <c r="P670" s="17"/>
      <c r="Q670" s="17"/>
      <c r="R670" s="17"/>
      <c r="S670" s="17"/>
      <c r="T670" s="17"/>
      <c r="U670" s="17"/>
      <c r="V670" s="17"/>
      <c r="W670" s="17"/>
      <c r="X670" s="17"/>
      <c r="Y670" s="17"/>
      <c r="Z670" s="17"/>
      <c r="AA670" s="17"/>
      <c r="AB670" s="17"/>
      <c r="AC670" s="17"/>
      <c r="AD670" s="17"/>
      <c r="AE670" s="17"/>
      <c r="AF670" s="17"/>
      <c r="AG670" s="17"/>
      <c r="AH670" s="17"/>
      <c r="AI670" s="17"/>
      <c r="AJ670" s="17"/>
      <c r="AK670" s="17"/>
      <c r="AL670" s="19"/>
      <c r="AM670" s="19"/>
      <c r="AN670" s="19"/>
      <c r="AO670" s="19"/>
    </row>
    <row r="671" spans="16:41" x14ac:dyDescent="0.2">
      <c r="P671" s="17"/>
      <c r="Q671" s="17"/>
      <c r="R671" s="17"/>
      <c r="S671" s="17"/>
      <c r="T671" s="17"/>
      <c r="U671" s="17"/>
      <c r="V671" s="17"/>
      <c r="W671" s="17"/>
      <c r="X671" s="17"/>
      <c r="Y671" s="17"/>
      <c r="Z671" s="17"/>
      <c r="AA671" s="17"/>
      <c r="AB671" s="17"/>
      <c r="AC671" s="17"/>
      <c r="AD671" s="17"/>
      <c r="AE671" s="17"/>
      <c r="AF671" s="17"/>
      <c r="AG671" s="17"/>
      <c r="AH671" s="17"/>
      <c r="AI671" s="17"/>
      <c r="AJ671" s="17"/>
      <c r="AK671" s="17"/>
      <c r="AL671" s="19"/>
      <c r="AM671" s="19"/>
      <c r="AN671" s="19"/>
      <c r="AO671" s="19"/>
    </row>
    <row r="672" spans="16:41" x14ac:dyDescent="0.2">
      <c r="P672" s="17"/>
      <c r="Q672" s="17"/>
      <c r="R672" s="17"/>
      <c r="S672" s="17"/>
      <c r="T672" s="17"/>
      <c r="U672" s="17"/>
      <c r="V672" s="17"/>
      <c r="W672" s="17"/>
      <c r="X672" s="17"/>
      <c r="Y672" s="17"/>
      <c r="Z672" s="17"/>
      <c r="AA672" s="17"/>
      <c r="AB672" s="17"/>
      <c r="AC672" s="17"/>
      <c r="AD672" s="17"/>
      <c r="AE672" s="17"/>
      <c r="AF672" s="17"/>
      <c r="AG672" s="17"/>
      <c r="AH672" s="17"/>
      <c r="AI672" s="17"/>
      <c r="AJ672" s="17"/>
      <c r="AK672" s="17"/>
      <c r="AL672" s="19"/>
      <c r="AM672" s="19"/>
      <c r="AN672" s="19"/>
      <c r="AO672" s="19"/>
    </row>
    <row r="673" spans="16:41" x14ac:dyDescent="0.2">
      <c r="P673" s="17"/>
      <c r="Q673" s="17"/>
      <c r="R673" s="17"/>
      <c r="S673" s="17"/>
      <c r="T673" s="17"/>
      <c r="U673" s="17"/>
      <c r="V673" s="17"/>
      <c r="W673" s="17"/>
      <c r="X673" s="17"/>
      <c r="Y673" s="17"/>
      <c r="Z673" s="17"/>
      <c r="AA673" s="17"/>
      <c r="AB673" s="17"/>
      <c r="AC673" s="17"/>
      <c r="AD673" s="17"/>
      <c r="AE673" s="17"/>
      <c r="AF673" s="17"/>
      <c r="AG673" s="17"/>
      <c r="AH673" s="17"/>
      <c r="AI673" s="17"/>
      <c r="AJ673" s="17"/>
      <c r="AK673" s="17"/>
      <c r="AL673" s="19"/>
      <c r="AM673" s="19"/>
      <c r="AN673" s="19"/>
      <c r="AO673" s="19"/>
    </row>
    <row r="674" spans="16:41" x14ac:dyDescent="0.2">
      <c r="P674" s="17"/>
      <c r="Q674" s="17"/>
      <c r="R674" s="17"/>
      <c r="S674" s="17"/>
      <c r="T674" s="17"/>
      <c r="U674" s="17"/>
      <c r="V674" s="17"/>
      <c r="W674" s="17"/>
      <c r="X674" s="17"/>
      <c r="Y674" s="17"/>
      <c r="Z674" s="17"/>
      <c r="AA674" s="17"/>
      <c r="AB674" s="17"/>
      <c r="AC674" s="17"/>
      <c r="AD674" s="17"/>
      <c r="AE674" s="17"/>
      <c r="AF674" s="17"/>
      <c r="AG674" s="17"/>
      <c r="AH674" s="17"/>
      <c r="AI674" s="17"/>
      <c r="AJ674" s="17"/>
      <c r="AK674" s="17"/>
      <c r="AL674" s="19"/>
      <c r="AM674" s="19"/>
      <c r="AN674" s="19"/>
      <c r="AO674" s="19"/>
    </row>
    <row r="675" spans="16:41" x14ac:dyDescent="0.2">
      <c r="P675" s="17"/>
      <c r="Q675" s="17"/>
      <c r="R675" s="17"/>
      <c r="S675" s="17"/>
      <c r="T675" s="17"/>
      <c r="U675" s="17"/>
      <c r="V675" s="17"/>
      <c r="W675" s="17"/>
      <c r="X675" s="17"/>
      <c r="Y675" s="17"/>
      <c r="Z675" s="17"/>
      <c r="AA675" s="17"/>
      <c r="AB675" s="17"/>
      <c r="AC675" s="17"/>
      <c r="AD675" s="17"/>
      <c r="AE675" s="17"/>
      <c r="AF675" s="17"/>
      <c r="AG675" s="17"/>
      <c r="AH675" s="17"/>
      <c r="AI675" s="17"/>
      <c r="AJ675" s="17"/>
      <c r="AK675" s="17"/>
      <c r="AL675" s="19"/>
      <c r="AM675" s="19"/>
      <c r="AN675" s="19"/>
      <c r="AO675" s="19"/>
    </row>
    <row r="676" spans="16:41" x14ac:dyDescent="0.2">
      <c r="P676" s="17"/>
      <c r="Q676" s="17"/>
      <c r="R676" s="17"/>
      <c r="S676" s="17"/>
      <c r="T676" s="17"/>
      <c r="U676" s="17"/>
      <c r="V676" s="17"/>
      <c r="W676" s="17"/>
      <c r="X676" s="17"/>
      <c r="Y676" s="17"/>
      <c r="Z676" s="17"/>
      <c r="AA676" s="17"/>
      <c r="AB676" s="17"/>
      <c r="AC676" s="17"/>
      <c r="AD676" s="17"/>
      <c r="AE676" s="17"/>
      <c r="AF676" s="17"/>
      <c r="AG676" s="17"/>
      <c r="AH676" s="17"/>
      <c r="AI676" s="17"/>
      <c r="AJ676" s="17"/>
      <c r="AK676" s="17"/>
      <c r="AL676" s="19"/>
      <c r="AM676" s="19"/>
      <c r="AN676" s="19"/>
      <c r="AO676" s="19"/>
    </row>
    <row r="677" spans="16:41" x14ac:dyDescent="0.2">
      <c r="P677" s="17"/>
      <c r="Q677" s="17"/>
      <c r="R677" s="17"/>
      <c r="S677" s="17"/>
      <c r="T677" s="17"/>
      <c r="U677" s="17"/>
      <c r="V677" s="17"/>
      <c r="W677" s="17"/>
      <c r="X677" s="17"/>
      <c r="Y677" s="17"/>
      <c r="Z677" s="17"/>
      <c r="AA677" s="17"/>
      <c r="AB677" s="17"/>
      <c r="AC677" s="17"/>
      <c r="AD677" s="17"/>
      <c r="AE677" s="17"/>
      <c r="AF677" s="17"/>
      <c r="AG677" s="17"/>
      <c r="AH677" s="17"/>
      <c r="AI677" s="17"/>
      <c r="AJ677" s="17"/>
      <c r="AK677" s="17"/>
      <c r="AL677" s="19"/>
      <c r="AM677" s="19"/>
      <c r="AN677" s="19"/>
      <c r="AO677" s="19"/>
    </row>
    <row r="678" spans="16:41" x14ac:dyDescent="0.2">
      <c r="P678" s="17"/>
      <c r="Q678" s="17"/>
      <c r="R678" s="17"/>
      <c r="S678" s="17"/>
      <c r="T678" s="17"/>
      <c r="U678" s="17"/>
      <c r="V678" s="17"/>
      <c r="W678" s="17"/>
      <c r="X678" s="17"/>
      <c r="Y678" s="17"/>
      <c r="Z678" s="17"/>
      <c r="AA678" s="17"/>
      <c r="AB678" s="17"/>
      <c r="AC678" s="17"/>
      <c r="AD678" s="17"/>
      <c r="AE678" s="17"/>
      <c r="AF678" s="17"/>
      <c r="AG678" s="17"/>
      <c r="AH678" s="17"/>
      <c r="AI678" s="17"/>
      <c r="AJ678" s="17"/>
      <c r="AK678" s="17"/>
      <c r="AL678" s="19"/>
      <c r="AM678" s="19"/>
      <c r="AN678" s="19"/>
      <c r="AO678" s="19"/>
    </row>
    <row r="679" spans="16:41" x14ac:dyDescent="0.2">
      <c r="P679" s="17"/>
      <c r="Q679" s="17"/>
      <c r="R679" s="17"/>
      <c r="S679" s="17"/>
      <c r="T679" s="17"/>
      <c r="U679" s="17"/>
      <c r="V679" s="17"/>
      <c r="W679" s="17"/>
      <c r="X679" s="17"/>
      <c r="Y679" s="17"/>
      <c r="Z679" s="17"/>
      <c r="AA679" s="17"/>
      <c r="AB679" s="17"/>
      <c r="AC679" s="17"/>
      <c r="AD679" s="17"/>
      <c r="AE679" s="17"/>
      <c r="AF679" s="17"/>
      <c r="AG679" s="17"/>
      <c r="AH679" s="17"/>
      <c r="AI679" s="17"/>
      <c r="AJ679" s="17"/>
      <c r="AK679" s="17"/>
      <c r="AL679" s="19"/>
      <c r="AM679" s="19"/>
      <c r="AN679" s="19"/>
      <c r="AO679" s="19"/>
    </row>
    <row r="680" spans="16:41" x14ac:dyDescent="0.2">
      <c r="P680" s="17"/>
      <c r="Q680" s="17"/>
      <c r="R680" s="17"/>
      <c r="S680" s="17"/>
      <c r="T680" s="17"/>
      <c r="U680" s="17"/>
      <c r="V680" s="17"/>
      <c r="W680" s="17"/>
      <c r="X680" s="17"/>
      <c r="Y680" s="17"/>
      <c r="Z680" s="17"/>
      <c r="AA680" s="17"/>
      <c r="AB680" s="17"/>
      <c r="AC680" s="17"/>
      <c r="AD680" s="17"/>
      <c r="AE680" s="17"/>
      <c r="AF680" s="17"/>
      <c r="AG680" s="17"/>
      <c r="AH680" s="17"/>
      <c r="AI680" s="17"/>
      <c r="AJ680" s="17"/>
      <c r="AK680" s="17"/>
      <c r="AL680" s="19"/>
      <c r="AM680" s="19"/>
      <c r="AN680" s="19"/>
      <c r="AO680" s="19"/>
    </row>
    <row r="681" spans="16:41" x14ac:dyDescent="0.2">
      <c r="P681" s="17"/>
      <c r="Q681" s="17"/>
      <c r="R681" s="17"/>
      <c r="S681" s="17"/>
      <c r="T681" s="17"/>
      <c r="U681" s="17"/>
      <c r="V681" s="17"/>
      <c r="W681" s="17"/>
      <c r="X681" s="17"/>
      <c r="Y681" s="17"/>
      <c r="Z681" s="17"/>
      <c r="AA681" s="17"/>
      <c r="AB681" s="17"/>
      <c r="AC681" s="17"/>
      <c r="AD681" s="17"/>
      <c r="AE681" s="17"/>
      <c r="AF681" s="17"/>
      <c r="AG681" s="17"/>
      <c r="AH681" s="17"/>
      <c r="AI681" s="17"/>
      <c r="AJ681" s="17"/>
      <c r="AK681" s="17"/>
      <c r="AL681" s="19"/>
      <c r="AM681" s="19"/>
      <c r="AN681" s="19"/>
      <c r="AO681" s="19"/>
    </row>
    <row r="682" spans="16:41" x14ac:dyDescent="0.2">
      <c r="P682" s="17"/>
      <c r="Q682" s="17"/>
      <c r="R682" s="17"/>
      <c r="S682" s="17"/>
      <c r="T682" s="17"/>
      <c r="U682" s="17"/>
      <c r="V682" s="17"/>
      <c r="W682" s="17"/>
      <c r="X682" s="17"/>
      <c r="Y682" s="17"/>
      <c r="Z682" s="17"/>
      <c r="AA682" s="17"/>
      <c r="AB682" s="17"/>
      <c r="AC682" s="17"/>
      <c r="AD682" s="17"/>
      <c r="AE682" s="17"/>
      <c r="AF682" s="17"/>
      <c r="AG682" s="17"/>
      <c r="AH682" s="17"/>
      <c r="AI682" s="17"/>
      <c r="AJ682" s="17"/>
      <c r="AK682" s="17"/>
      <c r="AL682" s="19"/>
      <c r="AM682" s="19"/>
      <c r="AN682" s="19"/>
      <c r="AO682" s="19"/>
    </row>
    <row r="683" spans="16:41" x14ac:dyDescent="0.2">
      <c r="P683" s="17"/>
      <c r="Q683" s="17"/>
      <c r="R683" s="17"/>
      <c r="S683" s="17"/>
      <c r="T683" s="17"/>
      <c r="U683" s="17"/>
      <c r="V683" s="17"/>
      <c r="W683" s="17"/>
      <c r="X683" s="17"/>
      <c r="Y683" s="17"/>
      <c r="Z683" s="17"/>
      <c r="AA683" s="17"/>
      <c r="AB683" s="17"/>
      <c r="AC683" s="17"/>
      <c r="AD683" s="17"/>
      <c r="AE683" s="17"/>
      <c r="AF683" s="17"/>
      <c r="AG683" s="17"/>
      <c r="AH683" s="17"/>
      <c r="AI683" s="17"/>
      <c r="AJ683" s="17"/>
      <c r="AK683" s="17"/>
      <c r="AL683" s="19"/>
      <c r="AM683" s="19"/>
      <c r="AN683" s="19"/>
      <c r="AO683" s="19"/>
    </row>
    <row r="684" spans="16:41" x14ac:dyDescent="0.2">
      <c r="P684" s="17"/>
      <c r="Q684" s="17"/>
      <c r="R684" s="17"/>
      <c r="S684" s="17"/>
      <c r="T684" s="17"/>
      <c r="U684" s="17"/>
      <c r="V684" s="17"/>
      <c r="W684" s="17"/>
      <c r="X684" s="17"/>
      <c r="Y684" s="17"/>
      <c r="Z684" s="17"/>
      <c r="AA684" s="17"/>
      <c r="AB684" s="17"/>
      <c r="AC684" s="17"/>
      <c r="AD684" s="17"/>
      <c r="AE684" s="17"/>
      <c r="AF684" s="17"/>
      <c r="AG684" s="17"/>
      <c r="AH684" s="17"/>
      <c r="AI684" s="17"/>
      <c r="AJ684" s="17"/>
      <c r="AK684" s="17"/>
      <c r="AL684" s="19"/>
      <c r="AM684" s="19"/>
      <c r="AN684" s="19"/>
      <c r="AO684" s="19"/>
    </row>
    <row r="685" spans="16:41" x14ac:dyDescent="0.2">
      <c r="P685" s="17"/>
      <c r="Q685" s="17"/>
      <c r="R685" s="17"/>
      <c r="S685" s="17"/>
      <c r="T685" s="17"/>
      <c r="U685" s="17"/>
      <c r="V685" s="17"/>
      <c r="W685" s="17"/>
      <c r="X685" s="17"/>
      <c r="Y685" s="17"/>
      <c r="Z685" s="17"/>
      <c r="AA685" s="17"/>
      <c r="AB685" s="17"/>
      <c r="AC685" s="17"/>
      <c r="AD685" s="17"/>
      <c r="AE685" s="17"/>
      <c r="AF685" s="17"/>
      <c r="AG685" s="17"/>
      <c r="AH685" s="17"/>
      <c r="AI685" s="17"/>
      <c r="AJ685" s="17"/>
      <c r="AK685" s="17"/>
      <c r="AL685" s="19"/>
      <c r="AM685" s="19"/>
      <c r="AN685" s="19"/>
      <c r="AO685" s="19"/>
    </row>
    <row r="686" spans="16:41" x14ac:dyDescent="0.2">
      <c r="P686" s="17"/>
      <c r="Q686" s="17"/>
      <c r="R686" s="17"/>
      <c r="S686" s="17"/>
      <c r="T686" s="17"/>
      <c r="U686" s="17"/>
      <c r="V686" s="17"/>
      <c r="W686" s="17"/>
      <c r="X686" s="17"/>
      <c r="Y686" s="17"/>
      <c r="Z686" s="17"/>
      <c r="AA686" s="17"/>
      <c r="AB686" s="17"/>
      <c r="AC686" s="17"/>
      <c r="AD686" s="17"/>
      <c r="AE686" s="17"/>
      <c r="AF686" s="17"/>
      <c r="AG686" s="17"/>
      <c r="AH686" s="17"/>
      <c r="AI686" s="17"/>
      <c r="AJ686" s="17"/>
      <c r="AK686" s="17"/>
      <c r="AL686" s="19"/>
      <c r="AM686" s="19"/>
      <c r="AN686" s="19"/>
      <c r="AO686" s="19"/>
    </row>
    <row r="687" spans="16:41" x14ac:dyDescent="0.2">
      <c r="P687" s="17"/>
      <c r="Q687" s="17"/>
      <c r="R687" s="17"/>
      <c r="S687" s="17"/>
      <c r="T687" s="17"/>
      <c r="U687" s="17"/>
      <c r="V687" s="17"/>
      <c r="W687" s="17"/>
      <c r="X687" s="17"/>
      <c r="Y687" s="17"/>
      <c r="Z687" s="17"/>
      <c r="AA687" s="17"/>
      <c r="AB687" s="17"/>
      <c r="AC687" s="17"/>
      <c r="AD687" s="17"/>
      <c r="AE687" s="17"/>
      <c r="AF687" s="17"/>
      <c r="AG687" s="17"/>
      <c r="AH687" s="17"/>
      <c r="AI687" s="17"/>
      <c r="AJ687" s="17"/>
      <c r="AK687" s="17"/>
      <c r="AL687" s="19"/>
      <c r="AM687" s="19"/>
      <c r="AN687" s="19"/>
      <c r="AO687" s="19"/>
    </row>
    <row r="688" spans="16:41" x14ac:dyDescent="0.2">
      <c r="P688" s="17"/>
      <c r="Q688" s="17"/>
      <c r="R688" s="17"/>
      <c r="S688" s="17"/>
      <c r="T688" s="17"/>
      <c r="U688" s="17"/>
      <c r="V688" s="17"/>
      <c r="W688" s="17"/>
      <c r="X688" s="17"/>
      <c r="Y688" s="17"/>
      <c r="Z688" s="17"/>
      <c r="AA688" s="17"/>
      <c r="AB688" s="17"/>
      <c r="AC688" s="17"/>
      <c r="AD688" s="17"/>
      <c r="AE688" s="17"/>
      <c r="AF688" s="17"/>
      <c r="AG688" s="17"/>
      <c r="AH688" s="17"/>
      <c r="AI688" s="17"/>
      <c r="AJ688" s="17"/>
      <c r="AK688" s="17"/>
      <c r="AL688" s="19"/>
      <c r="AM688" s="19"/>
      <c r="AN688" s="19"/>
      <c r="AO688" s="19"/>
    </row>
    <row r="689" spans="16:41" x14ac:dyDescent="0.2">
      <c r="P689" s="17"/>
      <c r="Q689" s="17"/>
      <c r="R689" s="17"/>
      <c r="S689" s="17"/>
      <c r="T689" s="17"/>
      <c r="U689" s="17"/>
      <c r="V689" s="17"/>
      <c r="W689" s="17"/>
      <c r="X689" s="17"/>
      <c r="Y689" s="17"/>
      <c r="Z689" s="17"/>
      <c r="AA689" s="17"/>
      <c r="AB689" s="17"/>
      <c r="AC689" s="17"/>
      <c r="AD689" s="17"/>
      <c r="AE689" s="17"/>
      <c r="AF689" s="17"/>
      <c r="AG689" s="17"/>
      <c r="AH689" s="17"/>
      <c r="AI689" s="17"/>
      <c r="AJ689" s="17"/>
      <c r="AK689" s="17"/>
      <c r="AL689" s="19"/>
      <c r="AM689" s="19"/>
      <c r="AN689" s="19"/>
      <c r="AO689" s="19"/>
    </row>
    <row r="690" spans="16:41" x14ac:dyDescent="0.2">
      <c r="P690" s="17"/>
      <c r="Q690" s="17"/>
      <c r="R690" s="17"/>
      <c r="S690" s="17"/>
      <c r="T690" s="17"/>
      <c r="U690" s="17"/>
      <c r="V690" s="17"/>
      <c r="W690" s="17"/>
      <c r="X690" s="17"/>
      <c r="Y690" s="17"/>
      <c r="Z690" s="17"/>
      <c r="AA690" s="17"/>
      <c r="AB690" s="17"/>
      <c r="AC690" s="17"/>
      <c r="AD690" s="17"/>
      <c r="AE690" s="17"/>
      <c r="AF690" s="17"/>
      <c r="AG690" s="17"/>
      <c r="AH690" s="17"/>
      <c r="AI690" s="17"/>
      <c r="AJ690" s="17"/>
      <c r="AK690" s="17"/>
      <c r="AL690" s="19"/>
      <c r="AM690" s="19"/>
      <c r="AN690" s="19"/>
      <c r="AO690" s="19"/>
    </row>
    <row r="691" spans="16:41" x14ac:dyDescent="0.2">
      <c r="P691" s="17"/>
      <c r="Q691" s="17"/>
      <c r="R691" s="17"/>
      <c r="S691" s="17"/>
      <c r="T691" s="17"/>
      <c r="U691" s="17"/>
      <c r="V691" s="17"/>
      <c r="W691" s="17"/>
      <c r="X691" s="17"/>
      <c r="Y691" s="17"/>
      <c r="Z691" s="17"/>
      <c r="AA691" s="17"/>
      <c r="AB691" s="17"/>
      <c r="AC691" s="17"/>
      <c r="AD691" s="17"/>
      <c r="AE691" s="17"/>
      <c r="AF691" s="17"/>
      <c r="AG691" s="17"/>
      <c r="AH691" s="17"/>
      <c r="AI691" s="17"/>
      <c r="AJ691" s="17"/>
      <c r="AK691" s="17"/>
      <c r="AL691" s="19"/>
      <c r="AM691" s="19"/>
      <c r="AN691" s="19"/>
      <c r="AO691" s="19"/>
    </row>
    <row r="692" spans="16:41" x14ac:dyDescent="0.2">
      <c r="P692" s="17"/>
      <c r="Q692" s="17"/>
      <c r="R692" s="17"/>
      <c r="S692" s="17"/>
      <c r="T692" s="17"/>
      <c r="U692" s="17"/>
      <c r="V692" s="17"/>
      <c r="W692" s="17"/>
      <c r="X692" s="17"/>
      <c r="Y692" s="17"/>
      <c r="Z692" s="17"/>
      <c r="AA692" s="17"/>
      <c r="AB692" s="17"/>
      <c r="AC692" s="17"/>
      <c r="AD692" s="17"/>
      <c r="AE692" s="17"/>
      <c r="AF692" s="17"/>
      <c r="AG692" s="17"/>
      <c r="AH692" s="17"/>
      <c r="AI692" s="17"/>
      <c r="AJ692" s="17"/>
      <c r="AK692" s="17"/>
      <c r="AL692" s="19"/>
      <c r="AM692" s="19"/>
      <c r="AN692" s="19"/>
      <c r="AO692" s="19"/>
    </row>
    <row r="693" spans="16:41" x14ac:dyDescent="0.2">
      <c r="P693" s="17"/>
      <c r="Q693" s="17"/>
      <c r="R693" s="17"/>
      <c r="S693" s="17"/>
      <c r="T693" s="17"/>
      <c r="U693" s="17"/>
      <c r="V693" s="17"/>
      <c r="W693" s="17"/>
      <c r="X693" s="17"/>
      <c r="Y693" s="17"/>
      <c r="Z693" s="17"/>
      <c r="AA693" s="17"/>
      <c r="AB693" s="17"/>
      <c r="AC693" s="17"/>
      <c r="AD693" s="17"/>
      <c r="AE693" s="17"/>
      <c r="AF693" s="17"/>
      <c r="AG693" s="17"/>
      <c r="AH693" s="17"/>
      <c r="AI693" s="17"/>
      <c r="AJ693" s="17"/>
      <c r="AK693" s="17"/>
      <c r="AL693" s="19"/>
      <c r="AM693" s="19"/>
      <c r="AN693" s="19"/>
      <c r="AO693" s="19"/>
    </row>
    <row r="694" spans="16:41" x14ac:dyDescent="0.2">
      <c r="P694" s="17"/>
      <c r="Q694" s="17"/>
      <c r="R694" s="17"/>
      <c r="S694" s="17"/>
      <c r="T694" s="17"/>
      <c r="U694" s="17"/>
      <c r="V694" s="17"/>
      <c r="W694" s="17"/>
      <c r="X694" s="17"/>
      <c r="Y694" s="17"/>
      <c r="Z694" s="17"/>
      <c r="AA694" s="17"/>
      <c r="AB694" s="17"/>
      <c r="AC694" s="17"/>
      <c r="AD694" s="17"/>
      <c r="AE694" s="17"/>
      <c r="AF694" s="17"/>
      <c r="AG694" s="17"/>
      <c r="AH694" s="17"/>
      <c r="AI694" s="17"/>
      <c r="AJ694" s="17"/>
      <c r="AK694" s="17"/>
      <c r="AL694" s="19"/>
      <c r="AM694" s="19"/>
      <c r="AN694" s="19"/>
      <c r="AO694" s="19"/>
    </row>
    <row r="695" spans="16:41" x14ac:dyDescent="0.2">
      <c r="P695" s="17"/>
      <c r="Q695" s="17"/>
      <c r="R695" s="17"/>
      <c r="S695" s="17"/>
      <c r="T695" s="17"/>
      <c r="U695" s="17"/>
      <c r="V695" s="17"/>
      <c r="W695" s="17"/>
      <c r="X695" s="17"/>
      <c r="Y695" s="17"/>
      <c r="Z695" s="17"/>
      <c r="AA695" s="17"/>
      <c r="AB695" s="17"/>
      <c r="AC695" s="17"/>
      <c r="AD695" s="17"/>
      <c r="AE695" s="17"/>
      <c r="AF695" s="17"/>
      <c r="AG695" s="17"/>
      <c r="AH695" s="17"/>
      <c r="AI695" s="17"/>
      <c r="AJ695" s="17"/>
      <c r="AK695" s="17"/>
      <c r="AL695" s="19"/>
      <c r="AM695" s="19"/>
      <c r="AN695" s="19"/>
      <c r="AO695" s="19"/>
    </row>
    <row r="696" spans="16:41" x14ac:dyDescent="0.2">
      <c r="P696" s="17"/>
      <c r="Q696" s="17"/>
      <c r="R696" s="17"/>
      <c r="S696" s="17"/>
      <c r="T696" s="17"/>
      <c r="U696" s="17"/>
      <c r="V696" s="17"/>
      <c r="W696" s="17"/>
      <c r="X696" s="17"/>
      <c r="Y696" s="17"/>
      <c r="Z696" s="17"/>
      <c r="AA696" s="17"/>
      <c r="AB696" s="17"/>
      <c r="AC696" s="17"/>
      <c r="AD696" s="17"/>
      <c r="AE696" s="17"/>
      <c r="AF696" s="17"/>
      <c r="AG696" s="17"/>
      <c r="AH696" s="17"/>
      <c r="AI696" s="17"/>
      <c r="AJ696" s="17"/>
      <c r="AK696" s="17"/>
      <c r="AL696" s="19"/>
      <c r="AM696" s="19"/>
      <c r="AN696" s="19"/>
      <c r="AO696" s="19"/>
    </row>
    <row r="697" spans="16:41" x14ac:dyDescent="0.2">
      <c r="P697" s="17"/>
      <c r="Q697" s="17"/>
      <c r="R697" s="17"/>
      <c r="S697" s="54"/>
      <c r="T697" s="17"/>
      <c r="U697" s="17"/>
      <c r="V697" s="17"/>
      <c r="W697" s="17"/>
      <c r="X697" s="17"/>
      <c r="Y697" s="17"/>
      <c r="Z697" s="17"/>
      <c r="AA697" s="17"/>
      <c r="AB697" s="17"/>
      <c r="AC697" s="17"/>
      <c r="AD697" s="17"/>
      <c r="AE697" s="17"/>
      <c r="AF697" s="17"/>
      <c r="AG697" s="17"/>
      <c r="AH697" s="17"/>
      <c r="AI697" s="17"/>
      <c r="AJ697" s="17"/>
      <c r="AK697" s="17"/>
      <c r="AL697" s="19"/>
      <c r="AM697" s="19"/>
      <c r="AN697" s="19"/>
      <c r="AO697" s="19"/>
    </row>
    <row r="698" spans="16:41" x14ac:dyDescent="0.2">
      <c r="P698" s="17"/>
      <c r="Q698" s="17"/>
      <c r="R698" s="17"/>
      <c r="S698" s="17"/>
      <c r="T698" s="17"/>
      <c r="U698" s="17"/>
      <c r="V698" s="17"/>
      <c r="W698" s="17"/>
      <c r="X698" s="17"/>
      <c r="Y698" s="17"/>
      <c r="Z698" s="17"/>
      <c r="AA698" s="17"/>
      <c r="AB698" s="17"/>
      <c r="AC698" s="17"/>
      <c r="AD698" s="17"/>
      <c r="AE698" s="17"/>
      <c r="AF698" s="17"/>
      <c r="AG698" s="17"/>
      <c r="AH698" s="17"/>
      <c r="AI698" s="17"/>
      <c r="AJ698" s="17"/>
      <c r="AK698" s="17"/>
      <c r="AL698" s="19"/>
      <c r="AM698" s="19"/>
      <c r="AN698" s="19"/>
      <c r="AO698" s="19"/>
    </row>
    <row r="699" spans="16:41" x14ac:dyDescent="0.2">
      <c r="P699" s="17"/>
      <c r="Q699" s="17"/>
      <c r="R699" s="17"/>
      <c r="S699" s="17"/>
      <c r="T699" s="17"/>
      <c r="U699" s="17"/>
      <c r="V699" s="17"/>
      <c r="W699" s="17"/>
      <c r="X699" s="17"/>
      <c r="Y699" s="17"/>
      <c r="Z699" s="17"/>
      <c r="AA699" s="17"/>
      <c r="AB699" s="17"/>
      <c r="AC699" s="17"/>
      <c r="AD699" s="17"/>
      <c r="AE699" s="17"/>
      <c r="AF699" s="17"/>
      <c r="AG699" s="17"/>
      <c r="AH699" s="17"/>
      <c r="AI699" s="17"/>
      <c r="AJ699" s="17"/>
      <c r="AK699" s="17"/>
      <c r="AL699" s="19"/>
      <c r="AM699" s="19"/>
      <c r="AN699" s="19"/>
      <c r="AO699" s="19"/>
    </row>
    <row r="700" spans="16:41" x14ac:dyDescent="0.2">
      <c r="P700" s="17"/>
      <c r="W700" s="17"/>
      <c r="X700" s="17"/>
      <c r="Y700" s="17"/>
      <c r="Z700" s="17"/>
      <c r="AA700" s="17"/>
      <c r="AB700" s="17"/>
      <c r="AC700" s="17"/>
      <c r="AD700" s="17"/>
      <c r="AE700" s="17"/>
      <c r="AF700" s="17"/>
      <c r="AG700" s="17"/>
      <c r="AH700" s="17"/>
      <c r="AI700" s="17"/>
      <c r="AJ700" s="17"/>
      <c r="AK700" s="17"/>
      <c r="AL700" s="19"/>
      <c r="AM700" s="19"/>
      <c r="AN700" s="19"/>
      <c r="AO700" s="19"/>
    </row>
    <row r="701" spans="16:41" x14ac:dyDescent="0.2">
      <c r="P701" s="17"/>
      <c r="W701" s="17"/>
      <c r="X701" s="17"/>
      <c r="Y701" s="17"/>
      <c r="Z701" s="17"/>
      <c r="AA701" s="17"/>
      <c r="AB701" s="17"/>
      <c r="AC701" s="17"/>
      <c r="AD701" s="17"/>
      <c r="AE701" s="17"/>
      <c r="AF701" s="17"/>
      <c r="AG701" s="17"/>
      <c r="AH701" s="17"/>
      <c r="AI701" s="17"/>
      <c r="AJ701" s="17"/>
      <c r="AK701" s="17"/>
      <c r="AL701" s="19"/>
      <c r="AM701" s="19"/>
      <c r="AN701" s="19"/>
      <c r="AO701" s="19"/>
    </row>
    <row r="702" spans="16:41" x14ac:dyDescent="0.2">
      <c r="P702" s="17"/>
      <c r="W702" s="17"/>
      <c r="X702" s="17"/>
      <c r="Y702" s="17"/>
      <c r="Z702" s="17"/>
      <c r="AA702" s="17"/>
      <c r="AB702" s="17"/>
      <c r="AC702" s="17"/>
      <c r="AD702" s="17"/>
      <c r="AE702" s="17"/>
      <c r="AF702" s="17"/>
      <c r="AG702" s="17"/>
      <c r="AH702" s="17"/>
      <c r="AI702" s="17"/>
      <c r="AJ702" s="17"/>
      <c r="AK702" s="17"/>
      <c r="AL702" s="19"/>
      <c r="AM702" s="19"/>
      <c r="AN702" s="19"/>
      <c r="AO702" s="19"/>
    </row>
    <row r="703" spans="16:41" x14ac:dyDescent="0.2">
      <c r="P703" s="17"/>
      <c r="W703" s="17"/>
      <c r="X703" s="17"/>
      <c r="Y703" s="17"/>
      <c r="Z703" s="17"/>
      <c r="AA703" s="17"/>
      <c r="AB703" s="17"/>
      <c r="AC703" s="17"/>
      <c r="AD703" s="17"/>
      <c r="AE703" s="17"/>
      <c r="AF703" s="17"/>
      <c r="AG703" s="17"/>
      <c r="AH703" s="17"/>
      <c r="AI703" s="17"/>
      <c r="AJ703" s="17"/>
      <c r="AK703" s="17"/>
      <c r="AL703" s="19"/>
      <c r="AM703" s="19"/>
      <c r="AN703" s="19"/>
      <c r="AO703" s="19"/>
    </row>
    <row r="704" spans="16:41" x14ac:dyDescent="0.2">
      <c r="P704" s="17"/>
      <c r="W704" s="17"/>
      <c r="X704" s="17"/>
      <c r="Y704" s="17"/>
      <c r="Z704" s="17"/>
      <c r="AA704" s="17"/>
      <c r="AB704" s="17"/>
      <c r="AC704" s="17"/>
      <c r="AD704" s="17"/>
      <c r="AE704" s="17"/>
      <c r="AF704" s="17"/>
      <c r="AG704" s="17"/>
      <c r="AH704" s="17"/>
      <c r="AI704" s="17"/>
      <c r="AJ704" s="17"/>
      <c r="AK704" s="17"/>
      <c r="AL704" s="19"/>
      <c r="AM704" s="19"/>
      <c r="AN704" s="19"/>
      <c r="AO704" s="19"/>
    </row>
    <row r="705" spans="16:41" x14ac:dyDescent="0.2">
      <c r="P705" s="17"/>
      <c r="W705" s="17"/>
      <c r="X705" s="17"/>
      <c r="Y705" s="17"/>
      <c r="Z705" s="17"/>
      <c r="AA705" s="17"/>
      <c r="AB705" s="17"/>
      <c r="AC705" s="17"/>
      <c r="AD705" s="17"/>
      <c r="AE705" s="17"/>
      <c r="AF705" s="17"/>
      <c r="AG705" s="17"/>
      <c r="AH705" s="17"/>
      <c r="AI705" s="17"/>
      <c r="AJ705" s="17"/>
      <c r="AK705" s="17"/>
      <c r="AL705" s="19"/>
      <c r="AM705" s="19"/>
      <c r="AN705" s="19"/>
      <c r="AO705" s="19"/>
    </row>
    <row r="706" spans="16:41" x14ac:dyDescent="0.2">
      <c r="P706" s="17"/>
      <c r="W706" s="17"/>
      <c r="X706" s="17"/>
      <c r="Y706" s="17"/>
      <c r="Z706" s="17"/>
      <c r="AA706" s="17"/>
      <c r="AB706" s="17"/>
      <c r="AC706" s="17"/>
      <c r="AD706" s="17"/>
      <c r="AE706" s="17"/>
      <c r="AF706" s="17"/>
      <c r="AG706" s="17"/>
      <c r="AH706" s="17"/>
      <c r="AI706" s="17"/>
      <c r="AJ706" s="17"/>
      <c r="AK706" s="17"/>
      <c r="AL706" s="19"/>
      <c r="AM706" s="19"/>
      <c r="AN706" s="19"/>
      <c r="AO706" s="19"/>
    </row>
    <row r="707" spans="16:41" x14ac:dyDescent="0.2">
      <c r="P707" s="17"/>
      <c r="W707" s="17"/>
      <c r="X707" s="17"/>
      <c r="Y707" s="17"/>
      <c r="Z707" s="17"/>
      <c r="AA707" s="17"/>
      <c r="AB707" s="17"/>
      <c r="AC707" s="17"/>
      <c r="AD707" s="17"/>
      <c r="AE707" s="17"/>
      <c r="AF707" s="17"/>
      <c r="AG707" s="17"/>
      <c r="AH707" s="17"/>
      <c r="AI707" s="17"/>
      <c r="AJ707" s="17"/>
      <c r="AK707" s="17"/>
      <c r="AL707" s="19"/>
      <c r="AM707" s="19"/>
      <c r="AN707" s="19"/>
      <c r="AO707" s="19"/>
    </row>
    <row r="708" spans="16:41" x14ac:dyDescent="0.2">
      <c r="P708" s="17"/>
      <c r="W708" s="17"/>
      <c r="X708" s="17"/>
      <c r="Y708" s="17"/>
      <c r="Z708" s="17"/>
      <c r="AA708" s="17"/>
      <c r="AB708" s="17"/>
      <c r="AC708" s="17"/>
      <c r="AD708" s="17"/>
      <c r="AE708" s="17"/>
      <c r="AF708" s="17"/>
      <c r="AG708" s="17"/>
      <c r="AH708" s="17"/>
      <c r="AI708" s="17"/>
      <c r="AJ708" s="17"/>
      <c r="AK708" s="17"/>
      <c r="AL708" s="19"/>
      <c r="AM708" s="19"/>
      <c r="AN708" s="19"/>
      <c r="AO708" s="19"/>
    </row>
    <row r="709" spans="16:41" x14ac:dyDescent="0.2">
      <c r="P709" s="17"/>
      <c r="W709" s="17"/>
      <c r="X709" s="17"/>
      <c r="Y709" s="17"/>
      <c r="Z709" s="17"/>
      <c r="AA709" s="17"/>
      <c r="AB709" s="17"/>
      <c r="AC709" s="17"/>
      <c r="AD709" s="17"/>
      <c r="AE709" s="17"/>
      <c r="AF709" s="17"/>
      <c r="AG709" s="17"/>
      <c r="AH709" s="17"/>
      <c r="AI709" s="17"/>
      <c r="AJ709" s="17"/>
      <c r="AK709" s="17"/>
      <c r="AL709" s="19"/>
      <c r="AM709" s="19"/>
      <c r="AN709" s="19"/>
      <c r="AO709" s="19"/>
    </row>
    <row r="710" spans="16:41" x14ac:dyDescent="0.2">
      <c r="P710" s="17"/>
      <c r="W710" s="17"/>
      <c r="X710" s="17"/>
      <c r="Y710" s="17"/>
      <c r="Z710" s="17"/>
      <c r="AA710" s="17"/>
      <c r="AB710" s="17"/>
      <c r="AC710" s="17"/>
      <c r="AD710" s="17"/>
      <c r="AE710" s="17"/>
      <c r="AF710" s="17"/>
      <c r="AG710" s="17"/>
      <c r="AH710" s="17"/>
      <c r="AI710" s="17"/>
      <c r="AJ710" s="17"/>
      <c r="AK710" s="17"/>
      <c r="AL710" s="19"/>
      <c r="AM710" s="19"/>
      <c r="AN710" s="19"/>
      <c r="AO710" s="19"/>
    </row>
    <row r="711" spans="16:41" x14ac:dyDescent="0.2">
      <c r="P711" s="17"/>
      <c r="W711" s="17"/>
      <c r="X711" s="17"/>
      <c r="Y711" s="17"/>
      <c r="Z711" s="17"/>
      <c r="AA711" s="17"/>
      <c r="AB711" s="17"/>
      <c r="AC711" s="17"/>
      <c r="AD711" s="17"/>
      <c r="AE711" s="17"/>
      <c r="AF711" s="17"/>
      <c r="AG711" s="17"/>
      <c r="AH711" s="17"/>
      <c r="AI711" s="17"/>
      <c r="AJ711" s="17"/>
      <c r="AK711" s="17"/>
      <c r="AL711" s="19"/>
      <c r="AM711" s="19"/>
      <c r="AN711" s="19"/>
      <c r="AO711" s="19"/>
    </row>
    <row r="712" spans="16:41" x14ac:dyDescent="0.2">
      <c r="P712" s="17"/>
      <c r="Q712" s="17"/>
      <c r="R712" s="17"/>
      <c r="S712" s="17"/>
      <c r="T712" s="17"/>
      <c r="U712" s="17"/>
      <c r="V712" s="17"/>
      <c r="W712" s="17"/>
      <c r="X712" s="17"/>
      <c r="Y712" s="17"/>
      <c r="Z712" s="17"/>
      <c r="AA712" s="17"/>
      <c r="AB712" s="17"/>
      <c r="AC712" s="17"/>
      <c r="AD712" s="17"/>
      <c r="AE712" s="17"/>
      <c r="AF712" s="17"/>
      <c r="AG712" s="17"/>
      <c r="AH712" s="17"/>
      <c r="AI712" s="17"/>
      <c r="AJ712" s="17"/>
      <c r="AK712" s="17"/>
      <c r="AL712" s="19"/>
      <c r="AM712" s="19"/>
      <c r="AN712" s="19"/>
      <c r="AO712" s="19"/>
    </row>
    <row r="713" spans="16:41" x14ac:dyDescent="0.2">
      <c r="P713" s="17"/>
      <c r="Q713" s="17"/>
      <c r="R713" s="17"/>
      <c r="S713" s="17"/>
      <c r="T713" s="17"/>
      <c r="U713" s="17"/>
      <c r="V713" s="17"/>
      <c r="W713" s="17"/>
      <c r="X713" s="17"/>
      <c r="Y713" s="17"/>
      <c r="Z713" s="17"/>
      <c r="AA713" s="17"/>
      <c r="AB713" s="17"/>
      <c r="AC713" s="17"/>
      <c r="AD713" s="17"/>
      <c r="AE713" s="17"/>
      <c r="AF713" s="17"/>
      <c r="AG713" s="17"/>
      <c r="AH713" s="17"/>
      <c r="AI713" s="17"/>
      <c r="AJ713" s="17"/>
      <c r="AK713" s="17"/>
      <c r="AL713" s="19"/>
      <c r="AM713" s="19"/>
      <c r="AN713" s="19"/>
      <c r="AO713" s="19"/>
    </row>
    <row r="714" spans="16:41" x14ac:dyDescent="0.2">
      <c r="P714" s="17"/>
      <c r="Q714" s="17"/>
      <c r="R714" s="17"/>
      <c r="S714" s="17"/>
      <c r="T714" s="17"/>
      <c r="U714" s="17"/>
      <c r="V714" s="17"/>
      <c r="W714" s="17"/>
      <c r="X714" s="17"/>
      <c r="Y714" s="17"/>
      <c r="Z714" s="17"/>
      <c r="AA714" s="17"/>
      <c r="AB714" s="17"/>
      <c r="AC714" s="17"/>
      <c r="AD714" s="17"/>
      <c r="AE714" s="17"/>
      <c r="AF714" s="17"/>
      <c r="AG714" s="17"/>
      <c r="AH714" s="17"/>
      <c r="AI714" s="17"/>
      <c r="AJ714" s="17"/>
      <c r="AK714" s="17"/>
      <c r="AL714" s="19"/>
      <c r="AM714" s="19"/>
      <c r="AN714" s="19"/>
      <c r="AO714" s="19"/>
    </row>
    <row r="715" spans="16:41" x14ac:dyDescent="0.2">
      <c r="P715" s="17"/>
      <c r="Q715" s="17"/>
      <c r="R715" s="17"/>
      <c r="S715" s="17"/>
      <c r="T715" s="17"/>
      <c r="U715" s="17"/>
      <c r="V715" s="17"/>
      <c r="W715" s="17"/>
      <c r="X715" s="17"/>
      <c r="Y715" s="17"/>
      <c r="Z715" s="17"/>
      <c r="AA715" s="17"/>
      <c r="AB715" s="17"/>
      <c r="AC715" s="17"/>
      <c r="AD715" s="17"/>
      <c r="AE715" s="17"/>
      <c r="AF715" s="17"/>
      <c r="AG715" s="17"/>
      <c r="AH715" s="17"/>
      <c r="AI715" s="17"/>
      <c r="AJ715" s="17"/>
      <c r="AK715" s="17"/>
      <c r="AL715" s="19"/>
      <c r="AM715" s="19"/>
      <c r="AN715" s="19"/>
      <c r="AO715" s="19"/>
    </row>
    <row r="716" spans="16:41" x14ac:dyDescent="0.2">
      <c r="P716" s="17"/>
      <c r="Q716" s="17"/>
      <c r="R716" s="17"/>
      <c r="S716" s="17"/>
      <c r="T716" s="17"/>
      <c r="U716" s="17"/>
      <c r="V716" s="17"/>
      <c r="W716" s="17"/>
      <c r="X716" s="17"/>
      <c r="Y716" s="17"/>
      <c r="Z716" s="17"/>
      <c r="AA716" s="17"/>
      <c r="AB716" s="17"/>
      <c r="AC716" s="17"/>
      <c r="AD716" s="17"/>
      <c r="AE716" s="17"/>
      <c r="AF716" s="17"/>
      <c r="AG716" s="17"/>
      <c r="AH716" s="17"/>
      <c r="AI716" s="17"/>
      <c r="AJ716" s="17"/>
      <c r="AK716" s="17"/>
      <c r="AL716" s="19"/>
      <c r="AM716" s="19"/>
      <c r="AN716" s="19"/>
      <c r="AO716" s="19"/>
    </row>
    <row r="717" spans="16:41" x14ac:dyDescent="0.2">
      <c r="P717" s="17"/>
      <c r="Q717" s="17"/>
      <c r="R717" s="17"/>
      <c r="S717" s="17"/>
      <c r="T717" s="17"/>
      <c r="U717" s="17"/>
      <c r="V717" s="17"/>
      <c r="W717" s="17"/>
      <c r="X717" s="17"/>
      <c r="Y717" s="17"/>
      <c r="Z717" s="17"/>
      <c r="AA717" s="17"/>
      <c r="AB717" s="17"/>
      <c r="AC717" s="17"/>
      <c r="AD717" s="17"/>
      <c r="AE717" s="17"/>
      <c r="AF717" s="17"/>
      <c r="AG717" s="17"/>
      <c r="AH717" s="17"/>
      <c r="AI717" s="17"/>
      <c r="AJ717" s="17"/>
      <c r="AK717" s="17"/>
      <c r="AL717" s="19"/>
      <c r="AM717" s="19"/>
      <c r="AN717" s="19"/>
      <c r="AO717" s="19"/>
    </row>
    <row r="718" spans="16:41" x14ac:dyDescent="0.2">
      <c r="P718" s="17"/>
      <c r="Q718" s="17"/>
      <c r="R718" s="17"/>
      <c r="S718" s="17"/>
      <c r="T718" s="17"/>
      <c r="U718" s="17"/>
      <c r="V718" s="17"/>
      <c r="W718" s="17"/>
      <c r="X718" s="17"/>
      <c r="Y718" s="17"/>
      <c r="Z718" s="17"/>
      <c r="AA718" s="17"/>
      <c r="AB718" s="17"/>
      <c r="AC718" s="17"/>
      <c r="AD718" s="17"/>
      <c r="AE718" s="17"/>
      <c r="AF718" s="17"/>
      <c r="AG718" s="17"/>
      <c r="AH718" s="17"/>
      <c r="AI718" s="17"/>
      <c r="AJ718" s="17"/>
      <c r="AK718" s="17"/>
      <c r="AL718" s="19"/>
      <c r="AM718" s="19"/>
      <c r="AN718" s="19"/>
      <c r="AO718" s="19"/>
    </row>
    <row r="719" spans="16:41" x14ac:dyDescent="0.2">
      <c r="P719" s="17"/>
      <c r="Q719" s="17"/>
      <c r="R719" s="17"/>
      <c r="S719" s="17"/>
      <c r="T719" s="17"/>
      <c r="U719" s="17"/>
      <c r="V719" s="17"/>
      <c r="W719" s="17"/>
      <c r="X719" s="17"/>
      <c r="Y719" s="17"/>
      <c r="Z719" s="17"/>
      <c r="AA719" s="17"/>
      <c r="AB719" s="17"/>
      <c r="AC719" s="17"/>
      <c r="AD719" s="17"/>
      <c r="AE719" s="17"/>
      <c r="AF719" s="17"/>
      <c r="AG719" s="17"/>
      <c r="AH719" s="17"/>
      <c r="AI719" s="17"/>
      <c r="AJ719" s="17"/>
      <c r="AK719" s="17"/>
      <c r="AL719" s="19"/>
      <c r="AM719" s="19"/>
      <c r="AN719" s="19"/>
      <c r="AO719" s="19"/>
    </row>
    <row r="720" spans="16:41" x14ac:dyDescent="0.2">
      <c r="P720" s="17"/>
      <c r="Q720" s="17"/>
      <c r="R720" s="17"/>
      <c r="S720" s="17"/>
      <c r="T720" s="17"/>
      <c r="U720" s="17"/>
      <c r="V720" s="17"/>
      <c r="W720" s="17"/>
      <c r="X720" s="17"/>
      <c r="Y720" s="17"/>
      <c r="Z720" s="17"/>
      <c r="AA720" s="17"/>
      <c r="AB720" s="17"/>
      <c r="AC720" s="17"/>
      <c r="AD720" s="17"/>
      <c r="AE720" s="17"/>
      <c r="AF720" s="17"/>
      <c r="AG720" s="17"/>
      <c r="AH720" s="17"/>
      <c r="AI720" s="17"/>
      <c r="AJ720" s="17"/>
      <c r="AK720" s="17"/>
      <c r="AL720" s="19"/>
      <c r="AM720" s="19"/>
      <c r="AN720" s="19"/>
      <c r="AO720" s="19"/>
    </row>
    <row r="721" spans="16:41" x14ac:dyDescent="0.2">
      <c r="P721" s="17"/>
      <c r="Q721" s="17"/>
      <c r="R721" s="17"/>
      <c r="S721" s="17"/>
      <c r="T721" s="17"/>
      <c r="U721" s="17"/>
      <c r="V721" s="17"/>
      <c r="W721" s="17"/>
      <c r="X721" s="17"/>
      <c r="Y721" s="17"/>
      <c r="Z721" s="17"/>
      <c r="AA721" s="17"/>
      <c r="AB721" s="17"/>
      <c r="AC721" s="17"/>
      <c r="AD721" s="17"/>
      <c r="AE721" s="17"/>
      <c r="AF721" s="17"/>
      <c r="AG721" s="17"/>
      <c r="AH721" s="17"/>
      <c r="AI721" s="17"/>
      <c r="AJ721" s="17"/>
      <c r="AK721" s="17"/>
      <c r="AL721" s="19"/>
      <c r="AM721" s="19"/>
      <c r="AN721" s="19"/>
      <c r="AO721" s="19"/>
    </row>
    <row r="722" spans="16:41" x14ac:dyDescent="0.2">
      <c r="P722" s="17"/>
      <c r="Q722" s="17"/>
      <c r="R722" s="17"/>
      <c r="S722" s="17"/>
      <c r="T722" s="17"/>
      <c r="U722" s="17"/>
      <c r="V722" s="17"/>
      <c r="W722" s="17"/>
      <c r="X722" s="17"/>
      <c r="Y722" s="17"/>
      <c r="Z722" s="17"/>
      <c r="AA722" s="17"/>
      <c r="AB722" s="17"/>
      <c r="AC722" s="17"/>
      <c r="AD722" s="17"/>
      <c r="AE722" s="17"/>
      <c r="AF722" s="17"/>
      <c r="AG722" s="17"/>
      <c r="AH722" s="17"/>
      <c r="AI722" s="17"/>
      <c r="AJ722" s="17"/>
      <c r="AK722" s="17"/>
      <c r="AL722" s="19"/>
      <c r="AM722" s="19"/>
      <c r="AN722" s="19"/>
      <c r="AO722" s="19"/>
    </row>
    <row r="723" spans="16:41" x14ac:dyDescent="0.2">
      <c r="P723" s="17"/>
      <c r="Q723" s="17"/>
      <c r="R723" s="17"/>
      <c r="S723" s="17"/>
      <c r="T723" s="17"/>
      <c r="U723" s="17"/>
      <c r="V723" s="17"/>
      <c r="W723" s="17"/>
      <c r="X723" s="17"/>
      <c r="Y723" s="17"/>
      <c r="Z723" s="17"/>
      <c r="AA723" s="17"/>
      <c r="AB723" s="17"/>
      <c r="AC723" s="17"/>
      <c r="AD723" s="17"/>
      <c r="AE723" s="17"/>
      <c r="AF723" s="17"/>
      <c r="AG723" s="17"/>
      <c r="AH723" s="17"/>
      <c r="AI723" s="17"/>
      <c r="AJ723" s="17"/>
      <c r="AK723" s="17"/>
      <c r="AL723" s="19"/>
      <c r="AM723" s="19"/>
      <c r="AN723" s="19"/>
      <c r="AO723" s="19"/>
    </row>
    <row r="724" spans="16:41" x14ac:dyDescent="0.2">
      <c r="P724" s="17"/>
      <c r="Q724" s="17"/>
      <c r="R724" s="17"/>
      <c r="S724" s="17"/>
      <c r="T724" s="17"/>
      <c r="U724" s="17"/>
      <c r="V724" s="17"/>
      <c r="W724" s="17"/>
      <c r="X724" s="17"/>
      <c r="Y724" s="17"/>
      <c r="Z724" s="17"/>
      <c r="AA724" s="17"/>
      <c r="AB724" s="17"/>
      <c r="AC724" s="17"/>
      <c r="AD724" s="17"/>
      <c r="AE724" s="17"/>
      <c r="AF724" s="17"/>
      <c r="AG724" s="17"/>
      <c r="AH724" s="17"/>
      <c r="AI724" s="17"/>
      <c r="AJ724" s="17"/>
      <c r="AK724" s="17"/>
      <c r="AL724" s="19"/>
      <c r="AM724" s="19"/>
      <c r="AN724" s="19"/>
      <c r="AO724" s="19"/>
    </row>
    <row r="725" spans="16:41" x14ac:dyDescent="0.2">
      <c r="P725" s="17"/>
      <c r="Q725" s="17"/>
      <c r="R725" s="17"/>
      <c r="S725" s="17"/>
      <c r="T725" s="17"/>
      <c r="U725" s="17"/>
      <c r="V725" s="17"/>
      <c r="W725" s="17"/>
      <c r="X725" s="17"/>
      <c r="Y725" s="17"/>
      <c r="Z725" s="17"/>
      <c r="AA725" s="17"/>
      <c r="AB725" s="17"/>
      <c r="AC725" s="17"/>
      <c r="AD725" s="17"/>
      <c r="AE725" s="17"/>
      <c r="AF725" s="17"/>
      <c r="AG725" s="17"/>
      <c r="AH725" s="17"/>
      <c r="AI725" s="17"/>
      <c r="AJ725" s="17"/>
      <c r="AK725" s="17"/>
      <c r="AL725" s="19"/>
      <c r="AM725" s="19"/>
      <c r="AN725" s="19"/>
      <c r="AO725" s="19"/>
    </row>
    <row r="726" spans="16:41" x14ac:dyDescent="0.2">
      <c r="P726" s="17"/>
      <c r="Q726" s="17"/>
      <c r="R726" s="17"/>
      <c r="S726" s="17"/>
      <c r="T726" s="17"/>
      <c r="U726" s="17"/>
      <c r="V726" s="17"/>
      <c r="W726" s="17"/>
      <c r="X726" s="17"/>
      <c r="Y726" s="17"/>
      <c r="Z726" s="17"/>
      <c r="AA726" s="17"/>
      <c r="AB726" s="17"/>
      <c r="AC726" s="17"/>
      <c r="AD726" s="17"/>
      <c r="AE726" s="17"/>
      <c r="AF726" s="17"/>
      <c r="AG726" s="17"/>
      <c r="AH726" s="17"/>
      <c r="AI726" s="17"/>
      <c r="AJ726" s="17"/>
      <c r="AK726" s="17"/>
      <c r="AL726" s="19"/>
      <c r="AM726" s="19"/>
      <c r="AN726" s="19"/>
      <c r="AO726" s="19"/>
    </row>
    <row r="727" spans="16:41" x14ac:dyDescent="0.2">
      <c r="P727" s="17"/>
      <c r="Q727" s="17"/>
      <c r="R727" s="17"/>
      <c r="S727" s="17"/>
      <c r="T727" s="17"/>
      <c r="U727" s="17"/>
      <c r="V727" s="17"/>
      <c r="W727" s="17"/>
      <c r="X727" s="17"/>
      <c r="Y727" s="17"/>
      <c r="Z727" s="17"/>
      <c r="AA727" s="17"/>
      <c r="AB727" s="17"/>
      <c r="AC727" s="17"/>
      <c r="AD727" s="17"/>
      <c r="AE727" s="17"/>
      <c r="AF727" s="17"/>
      <c r="AG727" s="17"/>
      <c r="AH727" s="17"/>
      <c r="AI727" s="17"/>
      <c r="AJ727" s="17"/>
      <c r="AK727" s="17"/>
      <c r="AL727" s="19"/>
      <c r="AM727" s="19"/>
      <c r="AN727" s="19"/>
      <c r="AO727" s="19"/>
    </row>
    <row r="728" spans="16:41" x14ac:dyDescent="0.2">
      <c r="P728" s="17"/>
      <c r="Q728" s="17"/>
      <c r="R728" s="17"/>
      <c r="S728" s="17"/>
      <c r="T728" s="17"/>
      <c r="U728" s="17"/>
      <c r="V728" s="17"/>
      <c r="W728" s="17"/>
      <c r="X728" s="17"/>
      <c r="Y728" s="17"/>
      <c r="Z728" s="17"/>
      <c r="AA728" s="17"/>
      <c r="AB728" s="17"/>
      <c r="AC728" s="17"/>
      <c r="AD728" s="17"/>
      <c r="AE728" s="17"/>
      <c r="AF728" s="17"/>
      <c r="AG728" s="17"/>
      <c r="AH728" s="17"/>
      <c r="AI728" s="17"/>
      <c r="AJ728" s="17"/>
      <c r="AK728" s="17"/>
      <c r="AL728" s="19"/>
      <c r="AM728" s="19"/>
      <c r="AN728" s="19"/>
      <c r="AO728" s="19"/>
    </row>
    <row r="729" spans="16:41" x14ac:dyDescent="0.2">
      <c r="P729" s="17"/>
      <c r="Q729" s="17"/>
      <c r="R729" s="17"/>
      <c r="S729" s="17"/>
      <c r="T729" s="17"/>
      <c r="U729" s="17"/>
      <c r="V729" s="17"/>
      <c r="W729" s="17"/>
      <c r="X729" s="17"/>
      <c r="Y729" s="17"/>
      <c r="Z729" s="17"/>
      <c r="AA729" s="17"/>
      <c r="AB729" s="17"/>
      <c r="AC729" s="17"/>
      <c r="AD729" s="17"/>
      <c r="AE729" s="17"/>
      <c r="AF729" s="17"/>
      <c r="AG729" s="17"/>
      <c r="AH729" s="17"/>
      <c r="AI729" s="17"/>
      <c r="AJ729" s="17"/>
      <c r="AK729" s="17"/>
      <c r="AL729" s="19"/>
      <c r="AM729" s="19"/>
      <c r="AN729" s="19"/>
      <c r="AO729" s="19"/>
    </row>
    <row r="730" spans="16:41" x14ac:dyDescent="0.2">
      <c r="P730" s="17"/>
      <c r="Q730" s="17"/>
      <c r="R730" s="17"/>
      <c r="S730" s="17"/>
      <c r="T730" s="17"/>
      <c r="U730" s="17"/>
      <c r="V730" s="17"/>
      <c r="W730" s="17"/>
      <c r="X730" s="17"/>
      <c r="Y730" s="17"/>
      <c r="Z730" s="17"/>
      <c r="AA730" s="17"/>
      <c r="AB730" s="17"/>
      <c r="AC730" s="17"/>
      <c r="AD730" s="17"/>
      <c r="AE730" s="17"/>
      <c r="AF730" s="17"/>
      <c r="AG730" s="17"/>
      <c r="AH730" s="17"/>
      <c r="AI730" s="17"/>
      <c r="AJ730" s="17"/>
      <c r="AK730" s="17"/>
      <c r="AL730" s="19"/>
      <c r="AM730" s="19"/>
      <c r="AN730" s="19"/>
      <c r="AO730" s="19"/>
    </row>
    <row r="731" spans="16:41" x14ac:dyDescent="0.2">
      <c r="P731" s="17"/>
      <c r="Q731" s="17"/>
      <c r="R731" s="17"/>
      <c r="S731" s="17"/>
      <c r="T731" s="17"/>
      <c r="U731" s="17"/>
      <c r="V731" s="17"/>
      <c r="W731" s="17"/>
      <c r="X731" s="17"/>
      <c r="Y731" s="17"/>
      <c r="Z731" s="17"/>
      <c r="AA731" s="17"/>
      <c r="AB731" s="17"/>
      <c r="AC731" s="17"/>
      <c r="AD731" s="17"/>
      <c r="AE731" s="17"/>
      <c r="AF731" s="17"/>
      <c r="AG731" s="17"/>
      <c r="AH731" s="17"/>
      <c r="AI731" s="17"/>
      <c r="AJ731" s="17"/>
      <c r="AK731" s="17"/>
      <c r="AL731" s="19"/>
      <c r="AM731" s="19"/>
      <c r="AN731" s="19"/>
      <c r="AO731" s="19"/>
    </row>
    <row r="732" spans="16:41" x14ac:dyDescent="0.2">
      <c r="P732" s="17"/>
      <c r="Q732" s="17"/>
      <c r="R732" s="17"/>
      <c r="S732" s="17"/>
      <c r="T732" s="17"/>
      <c r="U732" s="17"/>
      <c r="V732" s="17"/>
      <c r="W732" s="17"/>
      <c r="X732" s="17"/>
      <c r="Y732" s="17"/>
      <c r="Z732" s="17"/>
      <c r="AA732" s="17"/>
      <c r="AB732" s="17"/>
      <c r="AC732" s="17"/>
      <c r="AD732" s="17"/>
      <c r="AE732" s="17"/>
      <c r="AF732" s="17"/>
      <c r="AG732" s="17"/>
      <c r="AH732" s="17"/>
      <c r="AI732" s="17"/>
      <c r="AJ732" s="17"/>
      <c r="AK732" s="17"/>
      <c r="AL732" s="19"/>
      <c r="AM732" s="19"/>
      <c r="AN732" s="19"/>
      <c r="AO732" s="19"/>
    </row>
    <row r="733" spans="16:41" x14ac:dyDescent="0.2">
      <c r="P733" s="17"/>
      <c r="Q733" s="17"/>
      <c r="R733" s="17"/>
      <c r="S733" s="17"/>
      <c r="T733" s="17"/>
      <c r="U733" s="17"/>
      <c r="V733" s="17"/>
      <c r="W733" s="17"/>
      <c r="X733" s="17"/>
      <c r="Y733" s="17"/>
      <c r="Z733" s="17"/>
      <c r="AA733" s="17"/>
      <c r="AB733" s="17"/>
      <c r="AC733" s="17"/>
      <c r="AD733" s="17"/>
      <c r="AE733" s="17"/>
      <c r="AF733" s="17"/>
      <c r="AG733" s="17"/>
      <c r="AH733" s="17"/>
      <c r="AI733" s="17"/>
      <c r="AJ733" s="17"/>
      <c r="AK733" s="17"/>
      <c r="AL733" s="19"/>
      <c r="AM733" s="19"/>
      <c r="AN733" s="19"/>
      <c r="AO733" s="19"/>
    </row>
    <row r="734" spans="16:41" x14ac:dyDescent="0.2">
      <c r="P734" s="17"/>
      <c r="Q734" s="17"/>
      <c r="R734" s="17"/>
      <c r="S734" s="17"/>
      <c r="T734" s="17"/>
      <c r="U734" s="17"/>
      <c r="V734" s="17"/>
      <c r="W734" s="17"/>
      <c r="X734" s="17"/>
      <c r="Y734" s="17"/>
      <c r="Z734" s="17"/>
      <c r="AA734" s="17"/>
      <c r="AB734" s="17"/>
      <c r="AC734" s="17"/>
      <c r="AD734" s="17"/>
      <c r="AE734" s="17"/>
      <c r="AF734" s="17"/>
      <c r="AG734" s="17"/>
      <c r="AH734" s="17"/>
      <c r="AI734" s="17"/>
      <c r="AJ734" s="17"/>
      <c r="AK734" s="17"/>
      <c r="AL734" s="19"/>
      <c r="AM734" s="19"/>
      <c r="AN734" s="19"/>
      <c r="AO734" s="19"/>
    </row>
    <row r="735" spans="16:41" x14ac:dyDescent="0.2">
      <c r="P735" s="17"/>
      <c r="Q735" s="17"/>
      <c r="R735" s="17"/>
      <c r="S735" s="17"/>
      <c r="T735" s="17"/>
      <c r="U735" s="17"/>
      <c r="V735" s="17"/>
      <c r="W735" s="17"/>
      <c r="X735" s="17"/>
      <c r="Y735" s="17"/>
      <c r="Z735" s="17"/>
      <c r="AA735" s="17"/>
      <c r="AB735" s="17"/>
      <c r="AC735" s="17"/>
      <c r="AD735" s="17"/>
      <c r="AE735" s="17"/>
      <c r="AF735" s="17"/>
      <c r="AG735" s="17"/>
      <c r="AH735" s="17"/>
      <c r="AI735" s="17"/>
      <c r="AJ735" s="17"/>
      <c r="AK735" s="17"/>
      <c r="AL735" s="19"/>
      <c r="AM735" s="19"/>
      <c r="AN735" s="19"/>
      <c r="AO735" s="19"/>
    </row>
    <row r="736" spans="16:41" x14ac:dyDescent="0.2">
      <c r="P736" s="17"/>
      <c r="Q736" s="17"/>
      <c r="R736" s="17"/>
      <c r="S736" s="17"/>
      <c r="T736" s="17"/>
      <c r="U736" s="17"/>
      <c r="V736" s="17"/>
      <c r="W736" s="17"/>
      <c r="X736" s="17"/>
      <c r="Y736" s="17"/>
      <c r="Z736" s="17"/>
      <c r="AA736" s="17"/>
      <c r="AB736" s="17"/>
      <c r="AC736" s="17"/>
      <c r="AD736" s="17"/>
      <c r="AE736" s="17"/>
      <c r="AF736" s="17"/>
      <c r="AG736" s="17"/>
      <c r="AH736" s="17"/>
      <c r="AI736" s="17"/>
      <c r="AJ736" s="17"/>
      <c r="AK736" s="17"/>
      <c r="AL736" s="19"/>
      <c r="AM736" s="19"/>
      <c r="AN736" s="19"/>
      <c r="AO736" s="19"/>
    </row>
    <row r="737" spans="16:41" x14ac:dyDescent="0.2">
      <c r="P737" s="17"/>
      <c r="Q737" s="17"/>
      <c r="R737" s="17"/>
      <c r="S737" s="17"/>
      <c r="T737" s="17"/>
      <c r="U737" s="17"/>
      <c r="V737" s="17"/>
      <c r="W737" s="17"/>
      <c r="X737" s="17"/>
      <c r="Y737" s="17"/>
      <c r="Z737" s="17"/>
      <c r="AA737" s="17"/>
      <c r="AB737" s="17"/>
      <c r="AC737" s="17"/>
      <c r="AD737" s="17"/>
      <c r="AE737" s="17"/>
      <c r="AF737" s="17"/>
      <c r="AG737" s="17"/>
      <c r="AH737" s="17"/>
      <c r="AI737" s="17"/>
      <c r="AJ737" s="17"/>
      <c r="AK737" s="17"/>
      <c r="AL737" s="19"/>
      <c r="AM737" s="19"/>
      <c r="AN737" s="19"/>
      <c r="AO737" s="19"/>
    </row>
    <row r="738" spans="16:41" x14ac:dyDescent="0.2">
      <c r="P738" s="17"/>
      <c r="Q738" s="17"/>
      <c r="R738" s="17"/>
      <c r="S738" s="17"/>
      <c r="T738" s="17"/>
      <c r="U738" s="17"/>
      <c r="V738" s="17"/>
      <c r="W738" s="17"/>
      <c r="X738" s="17"/>
      <c r="Y738" s="17"/>
      <c r="Z738" s="17"/>
      <c r="AA738" s="17"/>
      <c r="AB738" s="17"/>
      <c r="AC738" s="17"/>
      <c r="AD738" s="17"/>
      <c r="AE738" s="17"/>
      <c r="AF738" s="17"/>
      <c r="AG738" s="17"/>
      <c r="AH738" s="17"/>
      <c r="AI738" s="17"/>
      <c r="AJ738" s="17"/>
      <c r="AK738" s="17"/>
      <c r="AL738" s="19"/>
      <c r="AM738" s="19"/>
      <c r="AN738" s="19"/>
      <c r="AO738" s="19"/>
    </row>
    <row r="739" spans="16:41" x14ac:dyDescent="0.2">
      <c r="P739" s="17"/>
      <c r="Q739" s="17"/>
      <c r="R739" s="17"/>
      <c r="S739" s="17"/>
      <c r="T739" s="17"/>
      <c r="U739" s="17"/>
      <c r="V739" s="17"/>
      <c r="W739" s="17"/>
      <c r="X739" s="17"/>
      <c r="Y739" s="17"/>
      <c r="Z739" s="17"/>
      <c r="AA739" s="17"/>
      <c r="AB739" s="17"/>
      <c r="AC739" s="17"/>
      <c r="AD739" s="17"/>
      <c r="AE739" s="17"/>
      <c r="AF739" s="17"/>
      <c r="AG739" s="17"/>
      <c r="AH739" s="17"/>
      <c r="AI739" s="17"/>
      <c r="AJ739" s="17"/>
      <c r="AK739" s="17"/>
      <c r="AL739" s="19"/>
      <c r="AM739" s="19"/>
      <c r="AN739" s="19"/>
      <c r="AO739" s="19"/>
    </row>
    <row r="740" spans="16:41" x14ac:dyDescent="0.2">
      <c r="P740" s="17"/>
      <c r="Q740" s="17"/>
      <c r="R740" s="17"/>
      <c r="S740" s="17"/>
      <c r="T740" s="17"/>
      <c r="U740" s="17"/>
      <c r="V740" s="17"/>
      <c r="W740" s="17"/>
      <c r="X740" s="17"/>
      <c r="Y740" s="17"/>
      <c r="Z740" s="17"/>
      <c r="AA740" s="17"/>
      <c r="AB740" s="17"/>
      <c r="AC740" s="17"/>
      <c r="AD740" s="17"/>
      <c r="AE740" s="17"/>
      <c r="AF740" s="17"/>
      <c r="AG740" s="17"/>
      <c r="AH740" s="17"/>
      <c r="AI740" s="17"/>
      <c r="AJ740" s="17"/>
      <c r="AK740" s="17"/>
      <c r="AL740" s="19"/>
      <c r="AM740" s="19"/>
      <c r="AN740" s="19"/>
      <c r="AO740" s="19"/>
    </row>
    <row r="741" spans="16:41" x14ac:dyDescent="0.2">
      <c r="P741" s="17"/>
      <c r="Q741" s="17"/>
      <c r="R741" s="17"/>
      <c r="S741" s="17"/>
      <c r="T741" s="17"/>
      <c r="U741" s="17"/>
      <c r="V741" s="17"/>
      <c r="W741" s="17"/>
      <c r="X741" s="17"/>
      <c r="Y741" s="17"/>
      <c r="Z741" s="17"/>
      <c r="AA741" s="17"/>
      <c r="AB741" s="17"/>
      <c r="AC741" s="17"/>
      <c r="AD741" s="17"/>
      <c r="AE741" s="17"/>
      <c r="AF741" s="17"/>
      <c r="AG741" s="17"/>
      <c r="AH741" s="17"/>
      <c r="AI741" s="17"/>
      <c r="AJ741" s="17"/>
      <c r="AK741" s="17"/>
      <c r="AL741" s="19"/>
      <c r="AM741" s="19"/>
      <c r="AN741" s="19"/>
      <c r="AO741" s="19"/>
    </row>
    <row r="742" spans="16:41" x14ac:dyDescent="0.2">
      <c r="P742" s="17"/>
      <c r="Q742" s="17"/>
      <c r="R742" s="17"/>
      <c r="S742" s="17"/>
      <c r="T742" s="17"/>
      <c r="U742" s="17"/>
      <c r="V742" s="17"/>
      <c r="W742" s="17"/>
      <c r="X742" s="17"/>
      <c r="Y742" s="17"/>
      <c r="Z742" s="17"/>
      <c r="AA742" s="17"/>
      <c r="AB742" s="17"/>
      <c r="AC742" s="17"/>
      <c r="AD742" s="17"/>
      <c r="AE742" s="17"/>
      <c r="AF742" s="17"/>
      <c r="AG742" s="17"/>
      <c r="AH742" s="17"/>
      <c r="AI742" s="17"/>
      <c r="AJ742" s="17"/>
      <c r="AK742" s="17"/>
      <c r="AL742" s="19"/>
      <c r="AM742" s="19"/>
      <c r="AN742" s="19"/>
      <c r="AO742" s="19"/>
    </row>
    <row r="743" spans="16:41" x14ac:dyDescent="0.2">
      <c r="P743" s="17"/>
      <c r="Q743" s="17"/>
      <c r="R743" s="17"/>
      <c r="S743" s="17"/>
      <c r="T743" s="17"/>
      <c r="U743" s="17"/>
      <c r="V743" s="17"/>
      <c r="W743" s="17"/>
      <c r="X743" s="17"/>
      <c r="Y743" s="17"/>
      <c r="Z743" s="17"/>
      <c r="AA743" s="17"/>
      <c r="AB743" s="17"/>
      <c r="AC743" s="17"/>
      <c r="AD743" s="17"/>
      <c r="AE743" s="17"/>
      <c r="AF743" s="17"/>
      <c r="AG743" s="17"/>
      <c r="AH743" s="17"/>
      <c r="AI743" s="17"/>
      <c r="AJ743" s="17"/>
      <c r="AK743" s="17"/>
      <c r="AL743" s="19"/>
      <c r="AM743" s="19"/>
      <c r="AN743" s="19"/>
      <c r="AO743" s="19"/>
    </row>
    <row r="744" spans="16:41" x14ac:dyDescent="0.2">
      <c r="P744" s="17"/>
      <c r="Q744" s="17"/>
      <c r="R744" s="17"/>
      <c r="S744" s="17"/>
      <c r="T744" s="17"/>
      <c r="U744" s="17"/>
      <c r="V744" s="17"/>
      <c r="W744" s="17"/>
      <c r="X744" s="17"/>
      <c r="Y744" s="17"/>
      <c r="Z744" s="17"/>
      <c r="AA744" s="17"/>
      <c r="AB744" s="17"/>
      <c r="AC744" s="17"/>
      <c r="AD744" s="17"/>
      <c r="AE744" s="17"/>
      <c r="AF744" s="17"/>
      <c r="AG744" s="17"/>
      <c r="AH744" s="17"/>
      <c r="AI744" s="17"/>
      <c r="AJ744" s="17"/>
      <c r="AK744" s="17"/>
      <c r="AL744" s="19"/>
      <c r="AM744" s="19"/>
      <c r="AN744" s="19"/>
      <c r="AO744" s="19"/>
    </row>
    <row r="745" spans="16:41" x14ac:dyDescent="0.2">
      <c r="P745" s="17"/>
      <c r="Q745" s="17"/>
      <c r="R745" s="17"/>
      <c r="S745" s="17"/>
      <c r="T745" s="17"/>
      <c r="U745" s="17"/>
      <c r="V745" s="17"/>
      <c r="W745" s="17"/>
      <c r="X745" s="17"/>
      <c r="Y745" s="17"/>
      <c r="Z745" s="17"/>
      <c r="AA745" s="17"/>
      <c r="AB745" s="17"/>
      <c r="AC745" s="17"/>
      <c r="AD745" s="17"/>
      <c r="AE745" s="17"/>
      <c r="AF745" s="17"/>
      <c r="AG745" s="17"/>
      <c r="AH745" s="17"/>
      <c r="AI745" s="17"/>
      <c r="AJ745" s="17"/>
      <c r="AK745" s="17"/>
      <c r="AL745" s="19"/>
      <c r="AM745" s="19"/>
      <c r="AN745" s="19"/>
      <c r="AO745" s="19"/>
    </row>
    <row r="746" spans="16:41" x14ac:dyDescent="0.2">
      <c r="P746" s="17"/>
      <c r="Q746" s="17"/>
      <c r="R746" s="17"/>
      <c r="S746" s="17"/>
      <c r="T746" s="17"/>
      <c r="U746" s="17"/>
      <c r="V746" s="17"/>
      <c r="W746" s="17"/>
      <c r="X746" s="17"/>
      <c r="Y746" s="17"/>
      <c r="Z746" s="17"/>
      <c r="AA746" s="17"/>
      <c r="AB746" s="17"/>
      <c r="AC746" s="17"/>
      <c r="AD746" s="17"/>
      <c r="AE746" s="17"/>
      <c r="AF746" s="17"/>
      <c r="AG746" s="17"/>
      <c r="AH746" s="17"/>
      <c r="AI746" s="17"/>
      <c r="AJ746" s="17"/>
      <c r="AK746" s="17"/>
      <c r="AL746" s="19"/>
      <c r="AM746" s="19"/>
      <c r="AN746" s="19"/>
      <c r="AO746" s="19"/>
    </row>
    <row r="747" spans="16:41" x14ac:dyDescent="0.2">
      <c r="P747" s="17"/>
      <c r="Q747" s="17"/>
      <c r="R747" s="17"/>
      <c r="S747" s="17"/>
      <c r="T747" s="17"/>
      <c r="U747" s="17"/>
      <c r="V747" s="17"/>
      <c r="W747" s="17"/>
      <c r="X747" s="17"/>
      <c r="Y747" s="17"/>
      <c r="Z747" s="17"/>
      <c r="AA747" s="17"/>
      <c r="AB747" s="17"/>
      <c r="AC747" s="17"/>
      <c r="AD747" s="17"/>
      <c r="AE747" s="17"/>
      <c r="AF747" s="17"/>
      <c r="AG747" s="17"/>
      <c r="AH747" s="17"/>
      <c r="AI747" s="17"/>
      <c r="AJ747" s="17"/>
      <c r="AK747" s="17"/>
      <c r="AL747" s="19"/>
      <c r="AM747" s="19"/>
      <c r="AN747" s="19"/>
      <c r="AO747" s="19"/>
    </row>
    <row r="748" spans="16:41" x14ac:dyDescent="0.2">
      <c r="P748" s="17"/>
      <c r="Q748" s="17"/>
      <c r="R748" s="17"/>
      <c r="S748" s="17"/>
      <c r="T748" s="17"/>
      <c r="U748" s="17"/>
      <c r="V748" s="17"/>
      <c r="W748" s="17"/>
      <c r="X748" s="17"/>
      <c r="Y748" s="17"/>
      <c r="Z748" s="17"/>
      <c r="AA748" s="17"/>
      <c r="AB748" s="17"/>
      <c r="AC748" s="17"/>
      <c r="AD748" s="17"/>
      <c r="AE748" s="17"/>
      <c r="AF748" s="17"/>
      <c r="AG748" s="17"/>
      <c r="AH748" s="17"/>
      <c r="AI748" s="17"/>
      <c r="AJ748" s="17"/>
      <c r="AK748" s="17"/>
      <c r="AL748" s="19"/>
      <c r="AM748" s="19"/>
      <c r="AN748" s="19"/>
      <c r="AO748" s="19"/>
    </row>
    <row r="749" spans="16:41" x14ac:dyDescent="0.2">
      <c r="P749" s="17"/>
      <c r="Q749" s="17"/>
      <c r="R749" s="17"/>
      <c r="S749" s="17"/>
      <c r="T749" s="17"/>
      <c r="U749" s="17"/>
      <c r="V749" s="17"/>
      <c r="W749" s="17"/>
      <c r="X749" s="17"/>
      <c r="Y749" s="17"/>
      <c r="Z749" s="17"/>
      <c r="AA749" s="17"/>
      <c r="AB749" s="17"/>
      <c r="AC749" s="17"/>
      <c r="AD749" s="17"/>
      <c r="AE749" s="17"/>
      <c r="AF749" s="17"/>
      <c r="AG749" s="17"/>
      <c r="AH749" s="17"/>
      <c r="AI749" s="17"/>
      <c r="AJ749" s="17"/>
      <c r="AK749" s="17"/>
      <c r="AL749" s="19"/>
      <c r="AM749" s="19"/>
      <c r="AN749" s="19"/>
      <c r="AO749" s="19"/>
    </row>
    <row r="750" spans="16:41" x14ac:dyDescent="0.2">
      <c r="P750" s="17"/>
      <c r="Q750" s="17"/>
      <c r="R750" s="17"/>
      <c r="S750" s="17"/>
      <c r="T750" s="17"/>
      <c r="U750" s="17"/>
      <c r="V750" s="17"/>
      <c r="W750" s="17"/>
      <c r="X750" s="17"/>
      <c r="Y750" s="17"/>
      <c r="Z750" s="17"/>
      <c r="AA750" s="17"/>
      <c r="AB750" s="17"/>
      <c r="AC750" s="17"/>
      <c r="AD750" s="17"/>
      <c r="AE750" s="17"/>
      <c r="AF750" s="17"/>
      <c r="AG750" s="17"/>
      <c r="AH750" s="17"/>
      <c r="AI750" s="17"/>
      <c r="AJ750" s="17"/>
      <c r="AK750" s="17"/>
      <c r="AL750" s="19"/>
      <c r="AM750" s="19"/>
      <c r="AN750" s="19"/>
      <c r="AO750" s="19"/>
    </row>
    <row r="751" spans="16:41" x14ac:dyDescent="0.2">
      <c r="P751" s="17"/>
      <c r="Q751" s="17"/>
      <c r="R751" s="17"/>
      <c r="S751" s="17"/>
      <c r="T751" s="17"/>
      <c r="U751" s="17"/>
      <c r="V751" s="17"/>
      <c r="W751" s="17"/>
      <c r="X751" s="17"/>
      <c r="Y751" s="17"/>
      <c r="Z751" s="17"/>
      <c r="AA751" s="17"/>
      <c r="AB751" s="17"/>
      <c r="AC751" s="17"/>
      <c r="AD751" s="17"/>
      <c r="AE751" s="17"/>
      <c r="AF751" s="17"/>
      <c r="AG751" s="17"/>
      <c r="AH751" s="17"/>
      <c r="AI751" s="17"/>
      <c r="AJ751" s="17"/>
      <c r="AK751" s="17"/>
      <c r="AL751" s="19"/>
      <c r="AM751" s="19"/>
      <c r="AN751" s="19"/>
      <c r="AO751" s="19"/>
    </row>
    <row r="752" spans="16:41" x14ac:dyDescent="0.2">
      <c r="P752" s="17"/>
      <c r="Q752" s="17"/>
      <c r="R752" s="17"/>
      <c r="S752" s="17"/>
      <c r="T752" s="17"/>
      <c r="U752" s="17"/>
      <c r="V752" s="17"/>
      <c r="W752" s="17"/>
      <c r="X752" s="17"/>
      <c r="Y752" s="17"/>
      <c r="Z752" s="17"/>
      <c r="AA752" s="17"/>
      <c r="AB752" s="17"/>
      <c r="AC752" s="17"/>
      <c r="AD752" s="17"/>
      <c r="AE752" s="17"/>
      <c r="AF752" s="17"/>
      <c r="AG752" s="17"/>
      <c r="AH752" s="17"/>
      <c r="AI752" s="17"/>
      <c r="AJ752" s="17"/>
      <c r="AK752" s="17"/>
      <c r="AL752" s="19"/>
      <c r="AM752" s="19"/>
      <c r="AN752" s="19"/>
      <c r="AO752" s="19"/>
    </row>
    <row r="753" spans="16:41" x14ac:dyDescent="0.2">
      <c r="P753" s="17"/>
      <c r="Q753" s="17"/>
      <c r="R753" s="17"/>
      <c r="S753" s="17"/>
      <c r="T753" s="17"/>
      <c r="U753" s="17"/>
      <c r="V753" s="17"/>
      <c r="W753" s="17"/>
      <c r="X753" s="17"/>
      <c r="Y753" s="17"/>
      <c r="Z753" s="17"/>
      <c r="AA753" s="17"/>
      <c r="AB753" s="17"/>
      <c r="AC753" s="17"/>
      <c r="AD753" s="17"/>
      <c r="AE753" s="17"/>
      <c r="AF753" s="17"/>
      <c r="AG753" s="17"/>
      <c r="AH753" s="17"/>
      <c r="AI753" s="17"/>
      <c r="AJ753" s="17"/>
      <c r="AK753" s="17"/>
      <c r="AL753" s="19"/>
      <c r="AM753" s="19"/>
      <c r="AN753" s="19"/>
      <c r="AO753" s="19"/>
    </row>
    <row r="754" spans="16:41" x14ac:dyDescent="0.2">
      <c r="P754" s="17"/>
      <c r="Q754" s="17"/>
      <c r="R754" s="17"/>
      <c r="S754" s="17"/>
      <c r="T754" s="17"/>
      <c r="U754" s="17"/>
      <c r="V754" s="17"/>
      <c r="W754" s="17"/>
      <c r="X754" s="17"/>
      <c r="Y754" s="17"/>
      <c r="Z754" s="17"/>
      <c r="AA754" s="17"/>
      <c r="AB754" s="17"/>
      <c r="AC754" s="17"/>
      <c r="AD754" s="17"/>
      <c r="AE754" s="17"/>
      <c r="AF754" s="17"/>
      <c r="AG754" s="17"/>
      <c r="AH754" s="17"/>
      <c r="AI754" s="17"/>
      <c r="AJ754" s="17"/>
      <c r="AK754" s="17"/>
      <c r="AL754" s="19"/>
      <c r="AM754" s="19"/>
      <c r="AN754" s="19"/>
      <c r="AO754" s="19"/>
    </row>
    <row r="755" spans="16:41" x14ac:dyDescent="0.2">
      <c r="P755" s="17"/>
      <c r="Q755" s="17"/>
      <c r="R755" s="17"/>
      <c r="S755" s="17"/>
      <c r="T755" s="17"/>
      <c r="U755" s="17"/>
      <c r="V755" s="17"/>
      <c r="W755" s="17"/>
      <c r="X755" s="17"/>
      <c r="Y755" s="17"/>
      <c r="Z755" s="17"/>
      <c r="AA755" s="17"/>
      <c r="AB755" s="17"/>
      <c r="AC755" s="17"/>
      <c r="AD755" s="17"/>
      <c r="AE755" s="17"/>
      <c r="AF755" s="17"/>
      <c r="AG755" s="17"/>
      <c r="AH755" s="17"/>
      <c r="AI755" s="17"/>
      <c r="AJ755" s="17"/>
      <c r="AK755" s="17"/>
      <c r="AL755" s="19"/>
      <c r="AM755" s="19"/>
      <c r="AN755" s="19"/>
      <c r="AO755" s="19"/>
    </row>
    <row r="756" spans="16:41" x14ac:dyDescent="0.2">
      <c r="P756" s="17"/>
      <c r="Q756" s="17"/>
      <c r="R756" s="17"/>
      <c r="S756" s="17"/>
      <c r="T756" s="17"/>
      <c r="U756" s="17"/>
      <c r="V756" s="17"/>
      <c r="W756" s="17"/>
      <c r="X756" s="17"/>
      <c r="Y756" s="17"/>
      <c r="Z756" s="17"/>
      <c r="AA756" s="17"/>
      <c r="AB756" s="17"/>
      <c r="AC756" s="17"/>
      <c r="AD756" s="17"/>
      <c r="AE756" s="17"/>
      <c r="AF756" s="17"/>
      <c r="AG756" s="17"/>
      <c r="AH756" s="17"/>
      <c r="AI756" s="17"/>
      <c r="AJ756" s="17"/>
      <c r="AK756" s="17"/>
      <c r="AL756" s="19"/>
      <c r="AM756" s="19"/>
      <c r="AN756" s="19"/>
      <c r="AO756" s="19"/>
    </row>
    <row r="757" spans="16:41" x14ac:dyDescent="0.2">
      <c r="P757" s="17"/>
      <c r="Q757" s="17"/>
      <c r="R757" s="17"/>
      <c r="S757" s="17"/>
      <c r="T757" s="17"/>
      <c r="U757" s="17"/>
      <c r="V757" s="17"/>
      <c r="W757" s="17"/>
      <c r="X757" s="17"/>
      <c r="Y757" s="17"/>
      <c r="Z757" s="17"/>
      <c r="AA757" s="17"/>
      <c r="AB757" s="17"/>
      <c r="AC757" s="17"/>
      <c r="AD757" s="17"/>
      <c r="AE757" s="17"/>
      <c r="AF757" s="17"/>
      <c r="AG757" s="17"/>
      <c r="AH757" s="17"/>
      <c r="AI757" s="17"/>
      <c r="AJ757" s="17"/>
      <c r="AK757" s="17"/>
      <c r="AL757" s="19"/>
      <c r="AM757" s="19"/>
      <c r="AN757" s="19"/>
      <c r="AO757" s="19"/>
    </row>
    <row r="758" spans="16:41" x14ac:dyDescent="0.2">
      <c r="P758" s="17"/>
      <c r="Q758" s="17"/>
      <c r="R758" s="17"/>
      <c r="S758" s="17"/>
      <c r="T758" s="17"/>
      <c r="U758" s="17"/>
      <c r="V758" s="17"/>
      <c r="W758" s="17"/>
      <c r="X758" s="17"/>
      <c r="Y758" s="17"/>
      <c r="Z758" s="17"/>
      <c r="AA758" s="17"/>
      <c r="AB758" s="17"/>
      <c r="AC758" s="17"/>
      <c r="AD758" s="17"/>
      <c r="AE758" s="17"/>
      <c r="AF758" s="17"/>
      <c r="AG758" s="17"/>
      <c r="AH758" s="17"/>
      <c r="AI758" s="17"/>
      <c r="AJ758" s="17"/>
      <c r="AK758" s="17"/>
      <c r="AL758" s="19"/>
      <c r="AM758" s="19"/>
      <c r="AN758" s="19"/>
      <c r="AO758" s="19"/>
    </row>
    <row r="759" spans="16:41" x14ac:dyDescent="0.2">
      <c r="P759" s="17"/>
      <c r="Q759" s="17"/>
      <c r="R759" s="17"/>
      <c r="S759" s="17"/>
      <c r="T759" s="17"/>
      <c r="U759" s="17"/>
      <c r="V759" s="17"/>
      <c r="W759" s="17"/>
      <c r="X759" s="17"/>
      <c r="Y759" s="17"/>
      <c r="Z759" s="17"/>
      <c r="AA759" s="17"/>
      <c r="AB759" s="17"/>
      <c r="AC759" s="17"/>
      <c r="AD759" s="17"/>
      <c r="AE759" s="17"/>
      <c r="AF759" s="17"/>
      <c r="AG759" s="17"/>
      <c r="AH759" s="17"/>
      <c r="AI759" s="17"/>
      <c r="AJ759" s="17"/>
      <c r="AK759" s="17"/>
      <c r="AL759" s="19"/>
      <c r="AM759" s="19"/>
      <c r="AN759" s="19"/>
      <c r="AO759" s="19"/>
    </row>
    <row r="760" spans="16:41" x14ac:dyDescent="0.2">
      <c r="P760" s="17"/>
      <c r="Q760" s="17"/>
      <c r="R760" s="17"/>
      <c r="S760" s="17"/>
      <c r="T760" s="17"/>
      <c r="U760" s="17"/>
      <c r="V760" s="17"/>
      <c r="W760" s="17"/>
      <c r="X760" s="17"/>
      <c r="Y760" s="17"/>
      <c r="Z760" s="17"/>
      <c r="AA760" s="17"/>
      <c r="AB760" s="17"/>
      <c r="AC760" s="17"/>
      <c r="AD760" s="17"/>
      <c r="AE760" s="17"/>
      <c r="AF760" s="17"/>
      <c r="AG760" s="17"/>
      <c r="AH760" s="17"/>
      <c r="AI760" s="17"/>
      <c r="AJ760" s="17"/>
      <c r="AK760" s="17"/>
      <c r="AL760" s="19"/>
      <c r="AM760" s="19"/>
      <c r="AN760" s="19"/>
      <c r="AO760" s="19"/>
    </row>
    <row r="761" spans="16:41" x14ac:dyDescent="0.2">
      <c r="P761" s="17"/>
      <c r="Q761" s="17"/>
      <c r="R761" s="17"/>
      <c r="S761" s="17"/>
      <c r="T761" s="17"/>
      <c r="U761" s="17"/>
      <c r="V761" s="17"/>
      <c r="W761" s="17"/>
      <c r="X761" s="17"/>
      <c r="Y761" s="17"/>
      <c r="Z761" s="17"/>
      <c r="AA761" s="17"/>
      <c r="AB761" s="17"/>
      <c r="AC761" s="17"/>
      <c r="AD761" s="17"/>
      <c r="AE761" s="17"/>
      <c r="AF761" s="17"/>
      <c r="AG761" s="17"/>
      <c r="AH761" s="17"/>
      <c r="AI761" s="17"/>
      <c r="AJ761" s="17"/>
      <c r="AK761" s="17"/>
      <c r="AL761" s="19"/>
      <c r="AM761" s="19"/>
      <c r="AN761" s="19"/>
      <c r="AO761" s="19"/>
    </row>
    <row r="762" spans="16:41" x14ac:dyDescent="0.2">
      <c r="P762" s="17"/>
      <c r="Q762" s="17"/>
      <c r="R762" s="17"/>
      <c r="S762" s="17"/>
      <c r="T762" s="17"/>
      <c r="U762" s="17"/>
      <c r="V762" s="17"/>
      <c r="W762" s="17"/>
      <c r="X762" s="17"/>
      <c r="Y762" s="17"/>
      <c r="Z762" s="17"/>
      <c r="AA762" s="17"/>
      <c r="AB762" s="17"/>
      <c r="AC762" s="17"/>
      <c r="AD762" s="17"/>
      <c r="AE762" s="17"/>
      <c r="AF762" s="17"/>
      <c r="AG762" s="17"/>
      <c r="AH762" s="17"/>
      <c r="AI762" s="17"/>
      <c r="AJ762" s="17"/>
      <c r="AK762" s="17"/>
      <c r="AL762" s="19"/>
      <c r="AM762" s="19"/>
      <c r="AN762" s="19"/>
      <c r="AO762" s="19"/>
    </row>
    <row r="763" spans="16:41" x14ac:dyDescent="0.2">
      <c r="P763" s="17"/>
      <c r="Q763" s="17"/>
      <c r="R763" s="17"/>
      <c r="S763" s="17"/>
      <c r="T763" s="17"/>
      <c r="U763" s="17"/>
      <c r="V763" s="17"/>
      <c r="W763" s="17"/>
      <c r="X763" s="17"/>
      <c r="Y763" s="17"/>
      <c r="Z763" s="17"/>
      <c r="AA763" s="17"/>
      <c r="AB763" s="17"/>
      <c r="AC763" s="17"/>
      <c r="AD763" s="17"/>
      <c r="AE763" s="17"/>
      <c r="AF763" s="17"/>
      <c r="AG763" s="17"/>
      <c r="AH763" s="17"/>
      <c r="AI763" s="17"/>
      <c r="AJ763" s="17"/>
      <c r="AK763" s="17"/>
      <c r="AL763" s="19"/>
      <c r="AM763" s="19"/>
      <c r="AN763" s="19"/>
      <c r="AO763" s="19"/>
    </row>
    <row r="764" spans="16:41" x14ac:dyDescent="0.2">
      <c r="P764" s="17"/>
      <c r="Q764" s="17"/>
      <c r="R764" s="17"/>
      <c r="S764" s="17"/>
      <c r="T764" s="17"/>
      <c r="U764" s="17"/>
      <c r="V764" s="17"/>
      <c r="W764" s="17"/>
      <c r="X764" s="17"/>
      <c r="Y764" s="17"/>
      <c r="Z764" s="17"/>
      <c r="AA764" s="17"/>
      <c r="AB764" s="17"/>
      <c r="AC764" s="17"/>
      <c r="AD764" s="17"/>
      <c r="AE764" s="17"/>
      <c r="AF764" s="17"/>
      <c r="AG764" s="17"/>
      <c r="AH764" s="17"/>
      <c r="AI764" s="17"/>
      <c r="AJ764" s="17"/>
      <c r="AK764" s="17"/>
      <c r="AL764" s="19"/>
      <c r="AM764" s="19"/>
      <c r="AN764" s="19"/>
      <c r="AO764" s="19"/>
    </row>
    <row r="765" spans="16:41" x14ac:dyDescent="0.2">
      <c r="P765" s="17"/>
      <c r="Q765" s="17"/>
      <c r="R765" s="17"/>
      <c r="S765" s="17"/>
      <c r="T765" s="17"/>
      <c r="U765" s="17"/>
      <c r="V765" s="17"/>
      <c r="W765" s="17"/>
      <c r="X765" s="17"/>
      <c r="Y765" s="17"/>
      <c r="Z765" s="17"/>
      <c r="AA765" s="17"/>
      <c r="AB765" s="17"/>
      <c r="AC765" s="17"/>
      <c r="AD765" s="17"/>
      <c r="AE765" s="17"/>
      <c r="AF765" s="17"/>
      <c r="AG765" s="17"/>
      <c r="AH765" s="17"/>
      <c r="AI765" s="17"/>
      <c r="AJ765" s="17"/>
      <c r="AK765" s="17"/>
      <c r="AL765" s="19"/>
      <c r="AM765" s="19"/>
      <c r="AN765" s="19"/>
      <c r="AO765" s="19"/>
    </row>
    <row r="766" spans="16:41" x14ac:dyDescent="0.2">
      <c r="P766" s="17"/>
      <c r="Q766" s="17"/>
      <c r="R766" s="17"/>
      <c r="S766" s="17"/>
      <c r="T766" s="17"/>
      <c r="U766" s="17"/>
      <c r="V766" s="17"/>
      <c r="W766" s="17"/>
      <c r="X766" s="17"/>
      <c r="Y766" s="17"/>
      <c r="Z766" s="17"/>
      <c r="AA766" s="17"/>
      <c r="AB766" s="17"/>
      <c r="AC766" s="17"/>
      <c r="AD766" s="17"/>
      <c r="AE766" s="17"/>
      <c r="AF766" s="17"/>
      <c r="AG766" s="17"/>
      <c r="AH766" s="17"/>
      <c r="AI766" s="17"/>
      <c r="AJ766" s="17"/>
      <c r="AK766" s="17"/>
      <c r="AL766" s="19"/>
      <c r="AM766" s="19"/>
      <c r="AN766" s="19"/>
      <c r="AO766" s="19"/>
    </row>
    <row r="767" spans="16:41" x14ac:dyDescent="0.2">
      <c r="P767" s="17"/>
      <c r="Q767" s="17"/>
      <c r="R767" s="17"/>
      <c r="S767" s="17"/>
      <c r="T767" s="17"/>
      <c r="U767" s="17"/>
      <c r="V767" s="17"/>
      <c r="W767" s="17"/>
      <c r="X767" s="17"/>
      <c r="Y767" s="17"/>
      <c r="Z767" s="17"/>
      <c r="AA767" s="17"/>
      <c r="AB767" s="17"/>
      <c r="AC767" s="17"/>
      <c r="AD767" s="17"/>
      <c r="AE767" s="17"/>
      <c r="AF767" s="17"/>
      <c r="AG767" s="17"/>
      <c r="AH767" s="17"/>
      <c r="AI767" s="17"/>
      <c r="AJ767" s="17"/>
      <c r="AK767" s="17"/>
      <c r="AL767" s="19"/>
      <c r="AM767" s="19"/>
      <c r="AN767" s="19"/>
      <c r="AO767" s="19"/>
    </row>
    <row r="768" spans="16:41" x14ac:dyDescent="0.2">
      <c r="P768" s="17"/>
      <c r="Q768" s="17"/>
      <c r="R768" s="17"/>
      <c r="S768" s="17"/>
      <c r="T768" s="17"/>
      <c r="U768" s="17"/>
      <c r="V768" s="17"/>
      <c r="W768" s="17"/>
      <c r="X768" s="17"/>
      <c r="Y768" s="17"/>
      <c r="Z768" s="17"/>
      <c r="AA768" s="17"/>
      <c r="AB768" s="17"/>
      <c r="AC768" s="17"/>
      <c r="AD768" s="17"/>
      <c r="AE768" s="17"/>
      <c r="AF768" s="17"/>
      <c r="AG768" s="17"/>
      <c r="AH768" s="17"/>
      <c r="AI768" s="17"/>
      <c r="AJ768" s="17"/>
      <c r="AK768" s="17"/>
      <c r="AL768" s="19"/>
      <c r="AM768" s="19"/>
      <c r="AN768" s="19"/>
      <c r="AO768" s="19"/>
    </row>
    <row r="769" spans="16:41" x14ac:dyDescent="0.2">
      <c r="P769" s="17"/>
      <c r="Q769" s="17"/>
      <c r="R769" s="17"/>
      <c r="S769" s="17"/>
      <c r="T769" s="17"/>
      <c r="U769" s="17"/>
      <c r="V769" s="17"/>
      <c r="W769" s="17"/>
      <c r="X769" s="17"/>
      <c r="Y769" s="17"/>
      <c r="Z769" s="17"/>
      <c r="AA769" s="17"/>
      <c r="AB769" s="17"/>
      <c r="AC769" s="17"/>
      <c r="AD769" s="17"/>
      <c r="AE769" s="17"/>
      <c r="AF769" s="17"/>
      <c r="AG769" s="17"/>
      <c r="AH769" s="17"/>
      <c r="AI769" s="17"/>
      <c r="AJ769" s="17"/>
      <c r="AK769" s="17"/>
      <c r="AL769" s="19"/>
      <c r="AM769" s="19"/>
      <c r="AN769" s="19"/>
      <c r="AO769" s="19"/>
    </row>
    <row r="770" spans="16:41" x14ac:dyDescent="0.2">
      <c r="P770" s="17"/>
      <c r="Q770" s="17"/>
      <c r="R770" s="17"/>
      <c r="S770" s="17"/>
      <c r="T770" s="17"/>
      <c r="U770" s="17"/>
      <c r="V770" s="17"/>
      <c r="W770" s="17"/>
      <c r="X770" s="17"/>
      <c r="Y770" s="17"/>
      <c r="Z770" s="17"/>
      <c r="AA770" s="17"/>
      <c r="AB770" s="17"/>
      <c r="AC770" s="17"/>
      <c r="AD770" s="17"/>
      <c r="AE770" s="17"/>
      <c r="AF770" s="17"/>
      <c r="AG770" s="17"/>
      <c r="AH770" s="17"/>
      <c r="AI770" s="17"/>
      <c r="AJ770" s="17"/>
      <c r="AK770" s="17"/>
      <c r="AL770" s="19"/>
      <c r="AM770" s="19"/>
      <c r="AN770" s="19"/>
      <c r="AO770" s="19"/>
    </row>
    <row r="771" spans="16:41" x14ac:dyDescent="0.2">
      <c r="P771" s="17"/>
      <c r="Q771" s="17"/>
      <c r="R771" s="17"/>
      <c r="S771" s="17"/>
      <c r="T771" s="17"/>
      <c r="U771" s="17"/>
      <c r="V771" s="17"/>
      <c r="W771" s="17"/>
      <c r="X771" s="17"/>
      <c r="Y771" s="17"/>
      <c r="Z771" s="17"/>
      <c r="AA771" s="17"/>
      <c r="AB771" s="17"/>
      <c r="AC771" s="17"/>
      <c r="AD771" s="17"/>
      <c r="AE771" s="17"/>
      <c r="AF771" s="17"/>
      <c r="AG771" s="17"/>
      <c r="AH771" s="17"/>
      <c r="AI771" s="17"/>
      <c r="AJ771" s="17"/>
      <c r="AK771" s="17"/>
      <c r="AL771" s="19"/>
      <c r="AM771" s="19"/>
      <c r="AN771" s="19"/>
      <c r="AO771" s="19"/>
    </row>
    <row r="772" spans="16:41" x14ac:dyDescent="0.2">
      <c r="P772" s="17"/>
      <c r="Q772" s="17"/>
      <c r="R772" s="17"/>
      <c r="S772" s="17"/>
      <c r="T772" s="17"/>
      <c r="U772" s="17"/>
      <c r="V772" s="17"/>
      <c r="W772" s="17"/>
      <c r="X772" s="17"/>
      <c r="Y772" s="17"/>
      <c r="Z772" s="17"/>
      <c r="AA772" s="17"/>
      <c r="AB772" s="17"/>
      <c r="AC772" s="17"/>
      <c r="AD772" s="17"/>
      <c r="AE772" s="17"/>
      <c r="AF772" s="17"/>
      <c r="AG772" s="17"/>
      <c r="AH772" s="17"/>
      <c r="AI772" s="17"/>
      <c r="AJ772" s="17"/>
      <c r="AK772" s="17"/>
      <c r="AL772" s="19"/>
      <c r="AM772" s="19"/>
      <c r="AN772" s="19"/>
      <c r="AO772" s="19"/>
    </row>
    <row r="773" spans="16:41" x14ac:dyDescent="0.2">
      <c r="P773" s="17"/>
      <c r="Q773" s="17"/>
      <c r="R773" s="17"/>
      <c r="S773" s="17"/>
      <c r="T773" s="17"/>
      <c r="U773" s="17"/>
      <c r="V773" s="17"/>
      <c r="W773" s="17"/>
      <c r="X773" s="17"/>
      <c r="Y773" s="17"/>
      <c r="Z773" s="17"/>
      <c r="AA773" s="17"/>
      <c r="AB773" s="17"/>
      <c r="AC773" s="17"/>
      <c r="AD773" s="17"/>
      <c r="AE773" s="17"/>
      <c r="AF773" s="17"/>
      <c r="AG773" s="17"/>
      <c r="AH773" s="17"/>
      <c r="AI773" s="17"/>
      <c r="AJ773" s="17"/>
      <c r="AK773" s="17"/>
      <c r="AL773" s="19"/>
      <c r="AM773" s="19"/>
      <c r="AN773" s="19"/>
      <c r="AO773" s="19"/>
    </row>
    <row r="774" spans="16:41" x14ac:dyDescent="0.2">
      <c r="P774" s="17"/>
      <c r="Q774" s="17"/>
      <c r="R774" s="17"/>
      <c r="S774" s="17"/>
      <c r="T774" s="17"/>
      <c r="U774" s="17"/>
      <c r="V774" s="17"/>
      <c r="W774" s="17"/>
      <c r="X774" s="17"/>
      <c r="Y774" s="17"/>
      <c r="Z774" s="17"/>
      <c r="AA774" s="17"/>
      <c r="AB774" s="17"/>
      <c r="AC774" s="17"/>
      <c r="AD774" s="17"/>
      <c r="AE774" s="17"/>
      <c r="AF774" s="17"/>
      <c r="AG774" s="17"/>
      <c r="AH774" s="17"/>
      <c r="AI774" s="17"/>
      <c r="AJ774" s="17"/>
      <c r="AK774" s="17"/>
      <c r="AL774" s="19"/>
      <c r="AM774" s="19"/>
      <c r="AN774" s="19"/>
      <c r="AO774" s="19"/>
    </row>
    <row r="775" spans="16:41" x14ac:dyDescent="0.2">
      <c r="P775" s="17"/>
      <c r="Q775" s="17"/>
      <c r="R775" s="17"/>
      <c r="S775" s="17"/>
      <c r="T775" s="17"/>
      <c r="U775" s="17"/>
      <c r="V775" s="17"/>
      <c r="W775" s="17"/>
      <c r="X775" s="17"/>
      <c r="Y775" s="17"/>
      <c r="Z775" s="17"/>
      <c r="AA775" s="17"/>
      <c r="AB775" s="17"/>
      <c r="AC775" s="17"/>
      <c r="AD775" s="17"/>
      <c r="AE775" s="17"/>
      <c r="AF775" s="17"/>
      <c r="AG775" s="17"/>
      <c r="AH775" s="17"/>
      <c r="AI775" s="17"/>
      <c r="AJ775" s="17"/>
      <c r="AK775" s="17"/>
      <c r="AL775" s="19"/>
      <c r="AM775" s="19"/>
      <c r="AN775" s="19"/>
      <c r="AO775" s="19"/>
    </row>
    <row r="776" spans="16:41" x14ac:dyDescent="0.2">
      <c r="P776" s="17"/>
      <c r="Q776" s="17"/>
      <c r="R776" s="17"/>
      <c r="S776" s="17"/>
      <c r="T776" s="17"/>
      <c r="U776" s="17"/>
      <c r="V776" s="17"/>
      <c r="W776" s="17"/>
      <c r="X776" s="17"/>
      <c r="Y776" s="17"/>
      <c r="Z776" s="17"/>
      <c r="AA776" s="17"/>
      <c r="AB776" s="17"/>
      <c r="AC776" s="17"/>
      <c r="AD776" s="17"/>
      <c r="AE776" s="17"/>
      <c r="AF776" s="17"/>
      <c r="AG776" s="17"/>
      <c r="AH776" s="17"/>
      <c r="AI776" s="17"/>
      <c r="AJ776" s="17"/>
      <c r="AK776" s="17"/>
      <c r="AL776" s="19"/>
      <c r="AM776" s="19"/>
      <c r="AN776" s="19"/>
      <c r="AO776" s="19"/>
    </row>
    <row r="777" spans="16:41" x14ac:dyDescent="0.2">
      <c r="P777" s="17"/>
      <c r="Q777" s="17"/>
      <c r="R777" s="17"/>
      <c r="S777" s="17"/>
      <c r="T777" s="17"/>
      <c r="U777" s="17"/>
      <c r="V777" s="17"/>
      <c r="W777" s="17"/>
      <c r="X777" s="17"/>
      <c r="Y777" s="17"/>
      <c r="Z777" s="17"/>
      <c r="AA777" s="17"/>
      <c r="AB777" s="17"/>
      <c r="AC777" s="17"/>
      <c r="AD777" s="17"/>
      <c r="AE777" s="17"/>
      <c r="AF777" s="17"/>
      <c r="AG777" s="17"/>
      <c r="AH777" s="17"/>
      <c r="AI777" s="17"/>
      <c r="AJ777" s="17"/>
      <c r="AK777" s="17"/>
      <c r="AL777" s="19"/>
      <c r="AM777" s="19"/>
      <c r="AN777" s="19"/>
      <c r="AO777" s="19"/>
    </row>
    <row r="778" spans="16:41" x14ac:dyDescent="0.2">
      <c r="P778" s="17"/>
      <c r="Q778" s="17"/>
      <c r="R778" s="17"/>
      <c r="S778" s="17"/>
      <c r="T778" s="17"/>
      <c r="U778" s="17"/>
      <c r="V778" s="17"/>
      <c r="W778" s="17"/>
      <c r="X778" s="17"/>
      <c r="Y778" s="17"/>
      <c r="Z778" s="17"/>
      <c r="AA778" s="17"/>
      <c r="AB778" s="17"/>
      <c r="AC778" s="17"/>
      <c r="AD778" s="17"/>
      <c r="AE778" s="17"/>
      <c r="AF778" s="17"/>
      <c r="AG778" s="17"/>
      <c r="AH778" s="17"/>
      <c r="AI778" s="17"/>
      <c r="AJ778" s="17"/>
      <c r="AK778" s="17"/>
      <c r="AL778" s="19"/>
      <c r="AM778" s="19"/>
      <c r="AN778" s="19"/>
      <c r="AO778" s="19"/>
    </row>
    <row r="779" spans="16:41" x14ac:dyDescent="0.2">
      <c r="W779" s="17"/>
      <c r="X779" s="17"/>
      <c r="Y779" s="17"/>
      <c r="Z779" s="17"/>
      <c r="AA779" s="17"/>
      <c r="AB779" s="17"/>
      <c r="AC779" s="17"/>
      <c r="AD779" s="17"/>
      <c r="AE779" s="17"/>
      <c r="AF779" s="17"/>
      <c r="AG779" s="17"/>
      <c r="AH779" s="17"/>
      <c r="AI779" s="17"/>
      <c r="AJ779" s="17"/>
      <c r="AK779" s="17"/>
      <c r="AL779" s="19"/>
      <c r="AM779" s="19"/>
      <c r="AN779" s="19"/>
      <c r="AO779" s="19"/>
    </row>
    <row r="780" spans="16:41" x14ac:dyDescent="0.2">
      <c r="W780" s="17"/>
      <c r="X780" s="17"/>
      <c r="Y780" s="17"/>
      <c r="Z780" s="17"/>
      <c r="AA780" s="17"/>
      <c r="AB780" s="17"/>
      <c r="AC780" s="17"/>
      <c r="AD780" s="17"/>
      <c r="AE780" s="17"/>
      <c r="AF780" s="17"/>
      <c r="AG780" s="17"/>
      <c r="AH780" s="17"/>
      <c r="AI780" s="17"/>
      <c r="AJ780" s="17"/>
      <c r="AK780" s="17"/>
      <c r="AL780" s="19"/>
      <c r="AM780" s="19"/>
      <c r="AN780" s="19"/>
      <c r="AO780" s="19"/>
    </row>
    <row r="781" spans="16:41" x14ac:dyDescent="0.2">
      <c r="W781" s="17"/>
      <c r="X781" s="17"/>
      <c r="Y781" s="17"/>
      <c r="Z781" s="17"/>
      <c r="AA781" s="17"/>
      <c r="AB781" s="17"/>
      <c r="AC781" s="17"/>
      <c r="AD781" s="17"/>
      <c r="AE781" s="17"/>
      <c r="AF781" s="17"/>
      <c r="AG781" s="17"/>
      <c r="AH781" s="17"/>
      <c r="AI781" s="17"/>
      <c r="AJ781" s="17"/>
      <c r="AK781" s="17"/>
      <c r="AL781" s="19"/>
      <c r="AM781" s="19"/>
      <c r="AN781" s="19"/>
      <c r="AO781" s="19"/>
    </row>
    <row r="782" spans="16:41" x14ac:dyDescent="0.2">
      <c r="W782" s="17"/>
      <c r="X782" s="17"/>
      <c r="Y782" s="17"/>
      <c r="Z782" s="17"/>
      <c r="AA782" s="17"/>
      <c r="AB782" s="17"/>
      <c r="AC782" s="17"/>
      <c r="AD782" s="17"/>
      <c r="AE782" s="17"/>
      <c r="AF782" s="17"/>
      <c r="AG782" s="17"/>
      <c r="AH782" s="17"/>
      <c r="AI782" s="17"/>
      <c r="AJ782" s="17"/>
      <c r="AK782" s="17"/>
      <c r="AL782" s="19"/>
      <c r="AM782" s="19"/>
      <c r="AN782" s="19"/>
      <c r="AO782" s="19"/>
    </row>
    <row r="783" spans="16:41" x14ac:dyDescent="0.2">
      <c r="W783" s="17"/>
      <c r="X783" s="17"/>
      <c r="Y783" s="17"/>
      <c r="Z783" s="17"/>
      <c r="AA783" s="17"/>
      <c r="AB783" s="17"/>
      <c r="AC783" s="17"/>
      <c r="AD783" s="17"/>
      <c r="AE783" s="17"/>
      <c r="AF783" s="17"/>
      <c r="AG783" s="17"/>
      <c r="AH783" s="17"/>
      <c r="AI783" s="17"/>
      <c r="AJ783" s="17"/>
      <c r="AK783" s="17"/>
      <c r="AL783" s="19"/>
      <c r="AM783" s="19"/>
      <c r="AN783" s="19"/>
      <c r="AO783" s="19"/>
    </row>
    <row r="784" spans="16:41" x14ac:dyDescent="0.2">
      <c r="W784" s="17"/>
      <c r="X784" s="17"/>
      <c r="Y784" s="17"/>
      <c r="Z784" s="17"/>
      <c r="AA784" s="17"/>
      <c r="AB784" s="17"/>
      <c r="AC784" s="17"/>
      <c r="AD784" s="17"/>
      <c r="AE784" s="17"/>
      <c r="AF784" s="17"/>
      <c r="AG784" s="17"/>
      <c r="AH784" s="17"/>
      <c r="AI784" s="17"/>
      <c r="AJ784" s="17"/>
      <c r="AK784" s="17"/>
      <c r="AL784" s="19"/>
      <c r="AM784" s="19"/>
      <c r="AN784" s="19"/>
      <c r="AO784" s="19"/>
    </row>
    <row r="785" spans="16:41" x14ac:dyDescent="0.2">
      <c r="W785" s="17"/>
      <c r="X785" s="17"/>
      <c r="Y785" s="17"/>
      <c r="Z785" s="17"/>
      <c r="AA785" s="17"/>
      <c r="AB785" s="17"/>
      <c r="AC785" s="17"/>
      <c r="AD785" s="17"/>
      <c r="AE785" s="17"/>
      <c r="AF785" s="17"/>
      <c r="AG785" s="17"/>
      <c r="AH785" s="17"/>
      <c r="AI785" s="17"/>
      <c r="AJ785" s="17"/>
      <c r="AK785" s="17"/>
      <c r="AL785" s="19"/>
      <c r="AM785" s="19"/>
      <c r="AN785" s="19"/>
      <c r="AO785" s="19"/>
    </row>
    <row r="786" spans="16:41" x14ac:dyDescent="0.2">
      <c r="W786" s="17"/>
      <c r="X786" s="17"/>
      <c r="Y786" s="17"/>
      <c r="Z786" s="17"/>
      <c r="AA786" s="17"/>
      <c r="AB786" s="17"/>
      <c r="AC786" s="17"/>
      <c r="AD786" s="17"/>
      <c r="AE786" s="17"/>
      <c r="AF786" s="17"/>
      <c r="AG786" s="17"/>
      <c r="AH786" s="17"/>
      <c r="AI786" s="17"/>
      <c r="AJ786" s="17"/>
      <c r="AK786" s="17"/>
      <c r="AL786" s="19"/>
      <c r="AM786" s="19"/>
      <c r="AN786" s="19"/>
      <c r="AO786" s="19"/>
    </row>
    <row r="787" spans="16:41" x14ac:dyDescent="0.2">
      <c r="W787" s="17"/>
      <c r="X787" s="17"/>
      <c r="Y787" s="17"/>
      <c r="Z787" s="17"/>
      <c r="AA787" s="17"/>
      <c r="AB787" s="17"/>
      <c r="AC787" s="17"/>
      <c r="AD787" s="17"/>
      <c r="AE787" s="17"/>
      <c r="AF787" s="17"/>
      <c r="AG787" s="17"/>
      <c r="AH787" s="17"/>
      <c r="AI787" s="17"/>
      <c r="AJ787" s="17"/>
      <c r="AK787" s="17"/>
      <c r="AL787" s="19"/>
      <c r="AM787" s="19"/>
      <c r="AN787" s="19"/>
      <c r="AO787" s="19"/>
    </row>
    <row r="788" spans="16:41" x14ac:dyDescent="0.2">
      <c r="W788" s="17"/>
      <c r="X788" s="17"/>
      <c r="Y788" s="17"/>
      <c r="Z788" s="17"/>
      <c r="AA788" s="17"/>
      <c r="AB788" s="17"/>
      <c r="AC788" s="17"/>
      <c r="AD788" s="17"/>
      <c r="AE788" s="17"/>
      <c r="AF788" s="17"/>
      <c r="AG788" s="17"/>
      <c r="AH788" s="17"/>
      <c r="AI788" s="17"/>
      <c r="AJ788" s="17"/>
      <c r="AK788" s="17"/>
      <c r="AL788" s="19"/>
      <c r="AM788" s="19"/>
      <c r="AN788" s="19"/>
      <c r="AO788" s="19"/>
    </row>
    <row r="789" spans="16:41" x14ac:dyDescent="0.2">
      <c r="W789" s="17"/>
      <c r="X789" s="17"/>
      <c r="Y789" s="17"/>
      <c r="Z789" s="17"/>
      <c r="AA789" s="17"/>
      <c r="AB789" s="17"/>
      <c r="AC789" s="17"/>
      <c r="AD789" s="17"/>
      <c r="AE789" s="17"/>
      <c r="AF789" s="17"/>
      <c r="AG789" s="17"/>
      <c r="AH789" s="17"/>
      <c r="AI789" s="17"/>
      <c r="AJ789" s="17"/>
      <c r="AK789" s="17"/>
      <c r="AL789" s="19"/>
      <c r="AM789" s="19"/>
      <c r="AN789" s="19"/>
      <c r="AO789" s="19"/>
    </row>
    <row r="790" spans="16:41" x14ac:dyDescent="0.2">
      <c r="W790" s="345"/>
      <c r="X790" s="345"/>
      <c r="Y790" s="17"/>
      <c r="Z790" s="17"/>
      <c r="AA790" s="17"/>
      <c r="AB790" s="17"/>
      <c r="AC790" s="17"/>
      <c r="AD790" s="17"/>
      <c r="AE790" s="17"/>
      <c r="AF790" s="17"/>
      <c r="AG790" s="17"/>
      <c r="AH790" s="17"/>
      <c r="AI790" s="17"/>
      <c r="AJ790" s="17"/>
      <c r="AK790" s="17"/>
      <c r="AL790" s="19"/>
      <c r="AM790" s="19"/>
      <c r="AN790" s="19"/>
      <c r="AO790" s="19"/>
    </row>
    <row r="791" spans="16:41" x14ac:dyDescent="0.2">
      <c r="W791" s="242"/>
      <c r="X791" s="347"/>
      <c r="Y791" s="356"/>
      <c r="Z791" s="17"/>
      <c r="AA791" s="17"/>
      <c r="AB791" s="17"/>
      <c r="AC791" s="17"/>
      <c r="AD791" s="17"/>
      <c r="AE791" s="17"/>
      <c r="AF791" s="17"/>
      <c r="AG791" s="17"/>
      <c r="AH791" s="17"/>
      <c r="AI791" s="17"/>
      <c r="AJ791" s="17"/>
      <c r="AK791" s="17"/>
      <c r="AL791" s="19"/>
      <c r="AM791" s="19"/>
      <c r="AN791" s="19"/>
      <c r="AO791" s="19"/>
    </row>
    <row r="792" spans="16:41" x14ac:dyDescent="0.2">
      <c r="W792" s="242"/>
      <c r="X792" s="347"/>
      <c r="Y792" s="356"/>
      <c r="Z792" s="17"/>
      <c r="AA792" s="17"/>
      <c r="AB792" s="17"/>
      <c r="AC792" s="17"/>
      <c r="AD792" s="17"/>
      <c r="AE792" s="17"/>
      <c r="AF792" s="17"/>
      <c r="AG792" s="17"/>
      <c r="AH792" s="17"/>
      <c r="AI792" s="17"/>
      <c r="AJ792" s="17"/>
      <c r="AK792" s="17"/>
      <c r="AL792" s="19"/>
      <c r="AM792" s="19"/>
      <c r="AN792" s="19"/>
      <c r="AO792" s="19"/>
    </row>
    <row r="793" spans="16:41" x14ac:dyDescent="0.2">
      <c r="W793" s="242"/>
      <c r="X793" s="347"/>
      <c r="Y793" s="356"/>
      <c r="Z793" s="17"/>
      <c r="AA793" s="17"/>
      <c r="AB793" s="17"/>
      <c r="AC793" s="17"/>
      <c r="AD793" s="17"/>
      <c r="AE793" s="17"/>
      <c r="AF793" s="17"/>
      <c r="AG793" s="17"/>
      <c r="AH793" s="17"/>
      <c r="AI793" s="17"/>
      <c r="AJ793" s="17"/>
      <c r="AK793" s="17"/>
      <c r="AL793" s="19"/>
      <c r="AM793" s="19"/>
      <c r="AN793" s="19"/>
      <c r="AO793" s="19"/>
    </row>
    <row r="794" spans="16:41" x14ac:dyDescent="0.2">
      <c r="W794" s="242"/>
      <c r="X794" s="347"/>
      <c r="Y794" s="356"/>
      <c r="Z794" s="17"/>
      <c r="AA794" s="17"/>
      <c r="AB794" s="17"/>
      <c r="AC794" s="17"/>
      <c r="AD794" s="17"/>
      <c r="AE794" s="17"/>
      <c r="AF794" s="17"/>
      <c r="AG794" s="17"/>
      <c r="AH794" s="17"/>
      <c r="AI794" s="17"/>
      <c r="AJ794" s="17"/>
      <c r="AK794" s="17"/>
      <c r="AL794" s="19"/>
      <c r="AM794" s="19"/>
      <c r="AN794" s="19"/>
      <c r="AO794" s="19"/>
    </row>
    <row r="795" spans="16:41" x14ac:dyDescent="0.2">
      <c r="P795" s="346"/>
      <c r="Q795" s="346"/>
      <c r="R795" s="242"/>
      <c r="S795" s="347"/>
      <c r="T795" s="243"/>
      <c r="U795" s="346"/>
      <c r="V795" s="346"/>
      <c r="W795" s="242"/>
      <c r="X795" s="347"/>
      <c r="Y795" s="356"/>
      <c r="Z795" s="17"/>
      <c r="AA795" s="17"/>
      <c r="AB795" s="17"/>
      <c r="AC795" s="17"/>
      <c r="AD795" s="17"/>
      <c r="AE795" s="17"/>
      <c r="AF795" s="17"/>
      <c r="AG795" s="17"/>
      <c r="AH795" s="17"/>
      <c r="AI795" s="17"/>
      <c r="AJ795" s="17"/>
      <c r="AK795" s="17"/>
      <c r="AL795" s="19"/>
      <c r="AM795" s="19"/>
      <c r="AN795" s="19"/>
      <c r="AO795" s="19"/>
    </row>
    <row r="796" spans="16:41" x14ac:dyDescent="0.2">
      <c r="P796" s="346"/>
      <c r="Q796" s="346"/>
      <c r="R796" s="242"/>
      <c r="S796" s="347"/>
      <c r="T796" s="243"/>
      <c r="U796" s="346"/>
      <c r="V796" s="346"/>
      <c r="W796" s="242"/>
      <c r="X796" s="347"/>
      <c r="Y796" s="356"/>
      <c r="Z796" s="17"/>
      <c r="AA796" s="17"/>
      <c r="AB796" s="17"/>
      <c r="AC796" s="17"/>
      <c r="AD796" s="17"/>
      <c r="AE796" s="17"/>
      <c r="AF796" s="17"/>
      <c r="AG796" s="17"/>
      <c r="AH796" s="17"/>
      <c r="AI796" s="17"/>
      <c r="AJ796" s="17"/>
      <c r="AK796" s="17"/>
      <c r="AL796" s="19"/>
      <c r="AM796" s="19"/>
      <c r="AN796" s="19"/>
      <c r="AO796" s="19"/>
    </row>
    <row r="797" spans="16:41" x14ac:dyDescent="0.2">
      <c r="P797" s="346"/>
      <c r="Q797" s="346"/>
      <c r="R797" s="242"/>
      <c r="S797" s="347"/>
      <c r="T797" s="243"/>
      <c r="U797" s="346"/>
      <c r="V797" s="346"/>
      <c r="W797" s="242"/>
      <c r="X797" s="347"/>
      <c r="Y797" s="356"/>
      <c r="Z797" s="17"/>
      <c r="AA797" s="17"/>
      <c r="AB797" s="17"/>
      <c r="AC797" s="17"/>
      <c r="AD797" s="17"/>
      <c r="AE797" s="17"/>
      <c r="AF797" s="17"/>
      <c r="AG797" s="17"/>
      <c r="AH797" s="17"/>
      <c r="AI797" s="17"/>
      <c r="AJ797" s="17"/>
      <c r="AK797" s="17"/>
      <c r="AL797" s="19"/>
      <c r="AM797" s="19"/>
      <c r="AN797" s="19"/>
      <c r="AO797" s="19"/>
    </row>
    <row r="798" spans="16:41" x14ac:dyDescent="0.2">
      <c r="P798" s="346"/>
      <c r="Q798" s="346"/>
      <c r="R798" s="242"/>
      <c r="S798" s="347"/>
      <c r="T798" s="243"/>
      <c r="U798" s="346"/>
      <c r="V798" s="346"/>
      <c r="W798" s="242"/>
      <c r="X798" s="347"/>
      <c r="Y798" s="356"/>
      <c r="Z798" s="17"/>
      <c r="AA798" s="17"/>
      <c r="AB798" s="17"/>
      <c r="AC798" s="17"/>
      <c r="AD798" s="17"/>
      <c r="AE798" s="17"/>
      <c r="AF798" s="17"/>
      <c r="AG798" s="17"/>
      <c r="AH798" s="17"/>
      <c r="AI798" s="17"/>
      <c r="AJ798" s="17"/>
      <c r="AK798" s="17"/>
      <c r="AL798" s="19"/>
      <c r="AM798" s="19"/>
      <c r="AN798" s="19"/>
      <c r="AO798" s="19"/>
    </row>
    <row r="799" spans="16:41" x14ac:dyDescent="0.2">
      <c r="P799" s="17"/>
      <c r="Q799" s="17"/>
      <c r="R799" s="17"/>
      <c r="S799" s="17"/>
      <c r="T799" s="17"/>
      <c r="U799" s="17"/>
      <c r="V799" s="17"/>
      <c r="W799" s="17"/>
      <c r="X799" s="17"/>
      <c r="Y799" s="17"/>
      <c r="Z799" s="17"/>
      <c r="AA799" s="17"/>
      <c r="AB799" s="17"/>
      <c r="AC799" s="17"/>
      <c r="AD799" s="17"/>
      <c r="AE799" s="17"/>
      <c r="AF799" s="17"/>
      <c r="AG799" s="17"/>
      <c r="AH799" s="17"/>
      <c r="AI799" s="17"/>
      <c r="AJ799" s="17"/>
      <c r="AK799" s="17"/>
      <c r="AL799" s="19"/>
      <c r="AM799" s="19"/>
      <c r="AN799" s="19"/>
      <c r="AO799" s="19"/>
    </row>
    <row r="800" spans="16:41" x14ac:dyDescent="0.2">
      <c r="P800" s="17"/>
      <c r="Q800" s="17"/>
      <c r="R800" s="17"/>
      <c r="S800" s="17"/>
      <c r="T800" s="17"/>
      <c r="U800" s="17"/>
      <c r="V800" s="17"/>
      <c r="W800" s="17"/>
      <c r="X800" s="17"/>
      <c r="Y800" s="17"/>
      <c r="Z800" s="17"/>
      <c r="AA800" s="17"/>
      <c r="AB800" s="17"/>
      <c r="AC800" s="17"/>
      <c r="AD800" s="17"/>
      <c r="AE800" s="17"/>
      <c r="AF800" s="17"/>
      <c r="AG800" s="17"/>
      <c r="AH800" s="17"/>
      <c r="AI800" s="17"/>
      <c r="AJ800" s="17"/>
      <c r="AK800" s="17"/>
      <c r="AL800" s="19"/>
      <c r="AM800" s="19"/>
      <c r="AN800" s="19"/>
      <c r="AO800" s="19"/>
    </row>
    <row r="801" spans="16:41" x14ac:dyDescent="0.2">
      <c r="P801" s="17"/>
      <c r="Q801" s="17"/>
      <c r="R801" s="17"/>
      <c r="S801" s="17"/>
      <c r="T801" s="17"/>
      <c r="U801" s="17"/>
      <c r="V801" s="17"/>
      <c r="W801" s="17"/>
      <c r="X801" s="17"/>
      <c r="Y801" s="17"/>
      <c r="Z801" s="17"/>
      <c r="AA801" s="17"/>
      <c r="AB801" s="17"/>
      <c r="AC801" s="17"/>
      <c r="AD801" s="17"/>
      <c r="AE801" s="17"/>
      <c r="AF801" s="17"/>
      <c r="AG801" s="17"/>
      <c r="AH801" s="17"/>
      <c r="AI801" s="17"/>
      <c r="AJ801" s="17"/>
      <c r="AK801" s="17"/>
      <c r="AL801" s="19"/>
      <c r="AM801" s="19"/>
      <c r="AN801" s="19"/>
      <c r="AO801" s="19"/>
    </row>
    <row r="802" spans="16:41" x14ac:dyDescent="0.2">
      <c r="P802" s="17"/>
      <c r="Q802" s="17"/>
      <c r="R802" s="17"/>
      <c r="S802" s="17"/>
      <c r="T802" s="17"/>
      <c r="U802" s="17"/>
      <c r="V802" s="17"/>
      <c r="W802" s="17"/>
      <c r="X802" s="17"/>
      <c r="Y802" s="17"/>
      <c r="Z802" s="17"/>
      <c r="AA802" s="17"/>
      <c r="AB802" s="17"/>
      <c r="AC802" s="17"/>
      <c r="AD802" s="17"/>
      <c r="AE802" s="17"/>
      <c r="AF802" s="17"/>
      <c r="AG802" s="17"/>
      <c r="AH802" s="17"/>
      <c r="AI802" s="17"/>
      <c r="AJ802" s="17"/>
      <c r="AK802" s="17"/>
      <c r="AL802" s="19"/>
      <c r="AM802" s="19"/>
      <c r="AN802" s="19"/>
      <c r="AO802" s="19"/>
    </row>
    <row r="803" spans="16:41" x14ac:dyDescent="0.2">
      <c r="P803" s="17"/>
      <c r="Q803" s="17"/>
      <c r="R803" s="17"/>
      <c r="S803" s="17"/>
      <c r="T803" s="17"/>
      <c r="U803" s="17"/>
      <c r="V803" s="17"/>
      <c r="W803" s="17"/>
      <c r="X803" s="17"/>
      <c r="Y803" s="17"/>
      <c r="Z803" s="17"/>
      <c r="AA803" s="17"/>
      <c r="AB803" s="17"/>
      <c r="AC803" s="17"/>
      <c r="AD803" s="17"/>
      <c r="AE803" s="17"/>
      <c r="AF803" s="17"/>
      <c r="AG803" s="17"/>
      <c r="AH803" s="17"/>
      <c r="AI803" s="17"/>
      <c r="AJ803" s="17"/>
      <c r="AK803" s="17"/>
      <c r="AL803" s="19"/>
      <c r="AM803" s="19"/>
      <c r="AN803" s="19"/>
      <c r="AO803" s="19"/>
    </row>
    <row r="804" spans="16:41" x14ac:dyDescent="0.2">
      <c r="P804" s="17"/>
      <c r="Q804" s="17"/>
      <c r="R804" s="17"/>
      <c r="S804" s="17"/>
      <c r="T804" s="17"/>
      <c r="U804" s="17"/>
      <c r="V804" s="17"/>
      <c r="W804" s="17"/>
      <c r="X804" s="17"/>
      <c r="Y804" s="17"/>
      <c r="Z804" s="17"/>
      <c r="AA804" s="17"/>
      <c r="AB804" s="17"/>
      <c r="AC804" s="17"/>
      <c r="AD804" s="17"/>
      <c r="AE804" s="17"/>
      <c r="AF804" s="17"/>
      <c r="AG804" s="17"/>
      <c r="AH804" s="17"/>
      <c r="AI804" s="17"/>
      <c r="AJ804" s="17"/>
      <c r="AK804" s="17"/>
      <c r="AL804" s="19"/>
      <c r="AM804" s="19"/>
      <c r="AN804" s="19"/>
      <c r="AO804" s="19"/>
    </row>
    <row r="805" spans="16:41" x14ac:dyDescent="0.2">
      <c r="P805" s="17"/>
      <c r="Q805" s="17"/>
      <c r="R805" s="17"/>
      <c r="S805" s="17"/>
      <c r="T805" s="17"/>
      <c r="U805" s="17"/>
      <c r="V805" s="17"/>
      <c r="W805" s="17"/>
      <c r="X805" s="17"/>
      <c r="Y805" s="17"/>
      <c r="Z805" s="17"/>
      <c r="AA805" s="17"/>
      <c r="AB805" s="17"/>
      <c r="AC805" s="17"/>
      <c r="AD805" s="17"/>
      <c r="AE805" s="17"/>
      <c r="AF805" s="17"/>
      <c r="AG805" s="17"/>
      <c r="AH805" s="17"/>
      <c r="AI805" s="17"/>
      <c r="AJ805" s="17"/>
      <c r="AK805" s="17"/>
      <c r="AL805" s="19"/>
      <c r="AM805" s="19"/>
      <c r="AN805" s="19"/>
      <c r="AO805" s="19"/>
    </row>
    <row r="806" spans="16:41" x14ac:dyDescent="0.2">
      <c r="P806" s="17"/>
      <c r="Q806" s="17"/>
      <c r="R806" s="17"/>
      <c r="S806" s="17"/>
      <c r="T806" s="17"/>
      <c r="U806" s="17"/>
      <c r="V806" s="17"/>
      <c r="W806" s="17"/>
      <c r="X806" s="17"/>
      <c r="Y806" s="17"/>
      <c r="Z806" s="17"/>
      <c r="AA806" s="17"/>
      <c r="AB806" s="17"/>
      <c r="AC806" s="17"/>
      <c r="AD806" s="17"/>
      <c r="AE806" s="17"/>
      <c r="AF806" s="17"/>
      <c r="AG806" s="17"/>
      <c r="AH806" s="17"/>
      <c r="AI806" s="17"/>
      <c r="AJ806" s="17"/>
      <c r="AK806" s="17"/>
      <c r="AL806" s="19"/>
      <c r="AM806" s="19"/>
      <c r="AN806" s="19"/>
      <c r="AO806" s="19"/>
    </row>
    <row r="807" spans="16:41" x14ac:dyDescent="0.2">
      <c r="P807" s="17"/>
      <c r="Q807" s="17"/>
      <c r="R807" s="17"/>
      <c r="S807" s="17"/>
      <c r="T807" s="17"/>
      <c r="U807" s="17"/>
      <c r="V807" s="17"/>
      <c r="W807" s="17"/>
      <c r="X807" s="17"/>
      <c r="Y807" s="17"/>
      <c r="Z807" s="17"/>
      <c r="AA807" s="17"/>
      <c r="AB807" s="17"/>
      <c r="AC807" s="17"/>
      <c r="AD807" s="17"/>
      <c r="AE807" s="17"/>
      <c r="AF807" s="17"/>
      <c r="AG807" s="17"/>
      <c r="AH807" s="17"/>
      <c r="AI807" s="17"/>
      <c r="AJ807" s="17"/>
      <c r="AK807" s="17"/>
      <c r="AL807" s="19"/>
      <c r="AM807" s="19"/>
      <c r="AN807" s="19"/>
      <c r="AO807" s="19"/>
    </row>
    <row r="808" spans="16:41" x14ac:dyDescent="0.2">
      <c r="P808" s="17"/>
      <c r="Q808" s="17"/>
      <c r="R808" s="17"/>
      <c r="S808" s="17"/>
      <c r="T808" s="17"/>
      <c r="U808" s="17"/>
      <c r="V808" s="17"/>
      <c r="W808" s="17"/>
      <c r="X808" s="17"/>
      <c r="Y808" s="17"/>
      <c r="Z808" s="17"/>
      <c r="AA808" s="17"/>
      <c r="AB808" s="17"/>
      <c r="AC808" s="17"/>
      <c r="AD808" s="17"/>
      <c r="AE808" s="17"/>
      <c r="AF808" s="17"/>
      <c r="AG808" s="17"/>
      <c r="AH808" s="17"/>
      <c r="AI808" s="17"/>
      <c r="AJ808" s="17"/>
      <c r="AK808" s="17"/>
      <c r="AL808" s="19"/>
      <c r="AM808" s="19"/>
      <c r="AN808" s="19"/>
      <c r="AO808" s="19"/>
    </row>
    <row r="809" spans="16:41" x14ac:dyDescent="0.2">
      <c r="P809" s="17"/>
      <c r="Q809" s="17"/>
      <c r="R809" s="17"/>
      <c r="S809" s="17"/>
      <c r="T809" s="17"/>
      <c r="U809" s="17"/>
      <c r="V809" s="17"/>
      <c r="W809" s="17"/>
      <c r="X809" s="17"/>
      <c r="Y809" s="17"/>
      <c r="Z809" s="17"/>
      <c r="AA809" s="17"/>
      <c r="AB809" s="17"/>
      <c r="AC809" s="17"/>
      <c r="AD809" s="17"/>
      <c r="AE809" s="17"/>
      <c r="AF809" s="17"/>
      <c r="AG809" s="17"/>
      <c r="AH809" s="17"/>
      <c r="AI809" s="17"/>
      <c r="AJ809" s="17"/>
      <c r="AK809" s="17"/>
      <c r="AL809" s="19"/>
      <c r="AM809" s="19"/>
      <c r="AN809" s="19"/>
      <c r="AO809" s="19"/>
    </row>
    <row r="810" spans="16:41" x14ac:dyDescent="0.2">
      <c r="P810" s="17"/>
      <c r="Q810" s="17"/>
      <c r="R810" s="17"/>
      <c r="S810" s="17"/>
      <c r="T810" s="17"/>
      <c r="U810" s="17"/>
      <c r="V810" s="17"/>
      <c r="W810" s="17"/>
      <c r="X810" s="17"/>
      <c r="Y810" s="17"/>
      <c r="Z810" s="17"/>
      <c r="AA810" s="17"/>
      <c r="AB810" s="17"/>
      <c r="AC810" s="17"/>
      <c r="AD810" s="17"/>
      <c r="AE810" s="17"/>
      <c r="AF810" s="17"/>
      <c r="AG810" s="17"/>
      <c r="AH810" s="17"/>
      <c r="AI810" s="17"/>
      <c r="AJ810" s="17"/>
      <c r="AK810" s="17"/>
      <c r="AL810" s="19"/>
      <c r="AM810" s="19"/>
      <c r="AN810" s="19"/>
      <c r="AO810" s="19"/>
    </row>
    <row r="811" spans="16:41" x14ac:dyDescent="0.2">
      <c r="P811" s="17"/>
      <c r="Q811" s="17"/>
      <c r="R811" s="17"/>
      <c r="S811" s="17"/>
      <c r="T811" s="17"/>
      <c r="U811" s="17"/>
      <c r="V811" s="17"/>
      <c r="W811" s="17"/>
      <c r="X811" s="17"/>
      <c r="Y811" s="17"/>
      <c r="Z811" s="17"/>
      <c r="AA811" s="17"/>
      <c r="AB811" s="17"/>
      <c r="AC811" s="17"/>
      <c r="AD811" s="17"/>
      <c r="AE811" s="17"/>
      <c r="AF811" s="17"/>
      <c r="AG811" s="17"/>
      <c r="AH811" s="17"/>
      <c r="AI811" s="17"/>
      <c r="AJ811" s="17"/>
      <c r="AK811" s="17"/>
      <c r="AL811" s="19"/>
      <c r="AM811" s="19"/>
      <c r="AN811" s="19"/>
      <c r="AO811" s="19"/>
    </row>
    <row r="812" spans="16:41" x14ac:dyDescent="0.2">
      <c r="P812" s="17"/>
      <c r="Q812" s="17"/>
      <c r="R812" s="17"/>
      <c r="S812" s="17"/>
      <c r="T812" s="17"/>
      <c r="U812" s="17"/>
      <c r="V812" s="17"/>
      <c r="W812" s="17"/>
      <c r="X812" s="17"/>
      <c r="Y812" s="17"/>
      <c r="Z812" s="17"/>
      <c r="AA812" s="17"/>
      <c r="AB812" s="17"/>
      <c r="AC812" s="17"/>
      <c r="AD812" s="17"/>
      <c r="AE812" s="17"/>
      <c r="AF812" s="17"/>
      <c r="AG812" s="17"/>
      <c r="AH812" s="17"/>
      <c r="AI812" s="17"/>
      <c r="AJ812" s="17"/>
      <c r="AK812" s="17"/>
      <c r="AL812" s="19"/>
      <c r="AM812" s="19"/>
      <c r="AN812" s="19"/>
      <c r="AO812" s="19"/>
    </row>
    <row r="813" spans="16:41" x14ac:dyDescent="0.2">
      <c r="P813" s="17"/>
      <c r="Q813" s="17"/>
      <c r="R813" s="17"/>
      <c r="S813" s="17"/>
      <c r="T813" s="17"/>
      <c r="U813" s="17"/>
      <c r="V813" s="17"/>
      <c r="W813" s="17"/>
      <c r="X813" s="17"/>
      <c r="Y813" s="17"/>
      <c r="Z813" s="17"/>
      <c r="AA813" s="17"/>
      <c r="AB813" s="17"/>
      <c r="AC813" s="17"/>
      <c r="AD813" s="17"/>
      <c r="AE813" s="17"/>
      <c r="AF813" s="17"/>
      <c r="AG813" s="17"/>
      <c r="AH813" s="17"/>
      <c r="AI813" s="17"/>
      <c r="AJ813" s="17"/>
      <c r="AK813" s="17"/>
      <c r="AL813" s="19"/>
      <c r="AM813" s="19"/>
      <c r="AN813" s="19"/>
      <c r="AO813" s="19"/>
    </row>
    <row r="814" spans="16:41" x14ac:dyDescent="0.2">
      <c r="P814" s="17"/>
      <c r="Q814" s="17"/>
      <c r="R814" s="17"/>
      <c r="S814" s="17"/>
      <c r="T814" s="17"/>
      <c r="U814" s="17"/>
      <c r="V814" s="17"/>
      <c r="W814" s="17"/>
      <c r="X814" s="17"/>
      <c r="Y814" s="17"/>
      <c r="Z814" s="17"/>
      <c r="AA814" s="17"/>
      <c r="AB814" s="17"/>
      <c r="AC814" s="17"/>
      <c r="AD814" s="17"/>
      <c r="AE814" s="17"/>
      <c r="AF814" s="17"/>
      <c r="AG814" s="17"/>
      <c r="AH814" s="17"/>
      <c r="AI814" s="17"/>
      <c r="AJ814" s="17"/>
      <c r="AK814" s="17"/>
      <c r="AL814" s="19"/>
      <c r="AM814" s="19"/>
      <c r="AN814" s="19"/>
      <c r="AO814" s="19"/>
    </row>
    <row r="815" spans="16:41" x14ac:dyDescent="0.2">
      <c r="P815" s="17"/>
      <c r="Q815" s="17"/>
      <c r="R815" s="17"/>
      <c r="S815" s="17"/>
      <c r="T815" s="17"/>
      <c r="U815" s="17"/>
      <c r="V815" s="17"/>
      <c r="W815" s="17"/>
      <c r="X815" s="17"/>
      <c r="Y815" s="17"/>
      <c r="Z815" s="17"/>
      <c r="AA815" s="17"/>
      <c r="AB815" s="17"/>
      <c r="AC815" s="17"/>
      <c r="AD815" s="17"/>
      <c r="AE815" s="17"/>
      <c r="AF815" s="17"/>
      <c r="AG815" s="17"/>
      <c r="AH815" s="17"/>
      <c r="AI815" s="17"/>
      <c r="AJ815" s="17"/>
      <c r="AK815" s="17"/>
      <c r="AL815" s="19"/>
      <c r="AM815" s="19"/>
      <c r="AN815" s="19"/>
      <c r="AO815" s="19"/>
    </row>
    <row r="816" spans="16:41" x14ac:dyDescent="0.2">
      <c r="P816" s="17"/>
      <c r="Q816" s="17"/>
      <c r="R816" s="17"/>
      <c r="S816" s="17"/>
      <c r="T816" s="17"/>
      <c r="U816" s="17"/>
      <c r="V816" s="17"/>
      <c r="W816" s="17"/>
      <c r="X816" s="17"/>
      <c r="Y816" s="17"/>
      <c r="Z816" s="17"/>
      <c r="AA816" s="17"/>
      <c r="AB816" s="17"/>
      <c r="AC816" s="17"/>
      <c r="AD816" s="17"/>
      <c r="AE816" s="17"/>
      <c r="AF816" s="17"/>
      <c r="AG816" s="17"/>
      <c r="AH816" s="17"/>
      <c r="AI816" s="17"/>
      <c r="AJ816" s="17"/>
      <c r="AK816" s="17"/>
      <c r="AL816" s="19"/>
      <c r="AM816" s="19"/>
      <c r="AN816" s="19"/>
      <c r="AO816" s="19"/>
    </row>
    <row r="817" spans="16:41" x14ac:dyDescent="0.2">
      <c r="P817" s="17"/>
      <c r="Q817" s="17"/>
      <c r="R817" s="17"/>
      <c r="S817" s="17"/>
      <c r="T817" s="17"/>
      <c r="U817" s="17"/>
      <c r="V817" s="17"/>
      <c r="W817" s="17"/>
      <c r="X817" s="17"/>
      <c r="Y817" s="17"/>
      <c r="Z817" s="17"/>
      <c r="AA817" s="17"/>
      <c r="AB817" s="17"/>
      <c r="AC817" s="17"/>
      <c r="AD817" s="17"/>
      <c r="AE817" s="17"/>
      <c r="AF817" s="17"/>
      <c r="AG817" s="17"/>
      <c r="AH817" s="17"/>
      <c r="AI817" s="17"/>
      <c r="AJ817" s="17"/>
      <c r="AK817" s="17"/>
      <c r="AL817" s="19"/>
      <c r="AM817" s="19"/>
      <c r="AN817" s="19"/>
      <c r="AO817" s="19"/>
    </row>
    <row r="818" spans="16:41" x14ac:dyDescent="0.2">
      <c r="P818" s="17"/>
      <c r="Q818" s="17"/>
      <c r="R818" s="17"/>
      <c r="S818" s="17"/>
      <c r="T818" s="17"/>
      <c r="U818" s="17"/>
      <c r="V818" s="17"/>
      <c r="W818" s="17"/>
      <c r="X818" s="17"/>
      <c r="Y818" s="17"/>
      <c r="Z818" s="17"/>
      <c r="AA818" s="17"/>
      <c r="AB818" s="17"/>
      <c r="AC818" s="17"/>
      <c r="AD818" s="17"/>
      <c r="AE818" s="17"/>
      <c r="AF818" s="17"/>
      <c r="AG818" s="17"/>
      <c r="AH818" s="17"/>
      <c r="AI818" s="17"/>
      <c r="AJ818" s="17"/>
      <c r="AK818" s="17"/>
      <c r="AL818" s="19"/>
      <c r="AM818" s="19"/>
      <c r="AN818" s="19"/>
      <c r="AO818" s="19"/>
    </row>
    <row r="819" spans="16:41" x14ac:dyDescent="0.2">
      <c r="P819" s="17"/>
      <c r="Q819" s="17"/>
      <c r="R819" s="17"/>
      <c r="S819" s="17"/>
      <c r="T819" s="17"/>
      <c r="U819" s="17"/>
      <c r="V819" s="17"/>
      <c r="W819" s="17"/>
      <c r="X819" s="17"/>
      <c r="Y819" s="17"/>
      <c r="Z819" s="17"/>
      <c r="AA819" s="17"/>
      <c r="AB819" s="17"/>
      <c r="AC819" s="17"/>
      <c r="AD819" s="17"/>
      <c r="AE819" s="17"/>
      <c r="AF819" s="17"/>
      <c r="AG819" s="17"/>
      <c r="AH819" s="17"/>
      <c r="AI819" s="17"/>
      <c r="AJ819" s="17"/>
      <c r="AK819" s="17"/>
      <c r="AL819" s="19"/>
      <c r="AM819" s="19"/>
      <c r="AN819" s="19"/>
      <c r="AO819" s="19"/>
    </row>
    <row r="820" spans="16:41" x14ac:dyDescent="0.2">
      <c r="P820" s="17"/>
      <c r="Q820" s="17"/>
      <c r="R820" s="17"/>
      <c r="S820" s="17"/>
      <c r="T820" s="17"/>
      <c r="U820" s="17"/>
      <c r="V820" s="17"/>
      <c r="W820" s="17"/>
      <c r="X820" s="17"/>
      <c r="Y820" s="17"/>
      <c r="Z820" s="17"/>
      <c r="AA820" s="17"/>
      <c r="AB820" s="17"/>
      <c r="AC820" s="17"/>
      <c r="AD820" s="17"/>
      <c r="AE820" s="17"/>
      <c r="AF820" s="17"/>
      <c r="AG820" s="17"/>
      <c r="AH820" s="17"/>
      <c r="AI820" s="17"/>
      <c r="AJ820" s="17"/>
      <c r="AK820" s="17"/>
      <c r="AL820" s="19"/>
      <c r="AM820" s="19"/>
      <c r="AN820" s="19"/>
      <c r="AO820" s="19"/>
    </row>
    <row r="821" spans="16:41" x14ac:dyDescent="0.2">
      <c r="P821" s="17"/>
      <c r="Q821" s="17"/>
      <c r="R821" s="17"/>
      <c r="S821" s="17"/>
      <c r="T821" s="17"/>
      <c r="U821" s="17"/>
      <c r="V821" s="17"/>
      <c r="W821" s="17"/>
      <c r="X821" s="17"/>
      <c r="Y821" s="17"/>
      <c r="Z821" s="17"/>
      <c r="AA821" s="17"/>
      <c r="AB821" s="17"/>
      <c r="AC821" s="17"/>
      <c r="AD821" s="17"/>
      <c r="AE821" s="17"/>
      <c r="AF821" s="17"/>
      <c r="AG821" s="17"/>
      <c r="AH821" s="17"/>
      <c r="AI821" s="17"/>
      <c r="AJ821" s="17"/>
      <c r="AK821" s="17"/>
      <c r="AL821" s="19"/>
      <c r="AM821" s="19"/>
      <c r="AN821" s="19"/>
      <c r="AO821" s="19"/>
    </row>
    <row r="822" spans="16:41" x14ac:dyDescent="0.2">
      <c r="P822" s="17"/>
      <c r="Q822" s="17"/>
      <c r="R822" s="17"/>
      <c r="S822" s="17"/>
      <c r="T822" s="17"/>
      <c r="U822" s="17"/>
      <c r="V822" s="17"/>
      <c r="W822" s="17"/>
      <c r="X822" s="17"/>
      <c r="Y822" s="17"/>
      <c r="Z822" s="17"/>
      <c r="AA822" s="17"/>
      <c r="AB822" s="17"/>
      <c r="AC822" s="17"/>
      <c r="AD822" s="17"/>
      <c r="AE822" s="17"/>
      <c r="AF822" s="17"/>
      <c r="AG822" s="17"/>
      <c r="AH822" s="17"/>
      <c r="AI822" s="17"/>
      <c r="AJ822" s="17"/>
      <c r="AK822" s="17"/>
      <c r="AL822" s="19"/>
      <c r="AM822" s="19"/>
      <c r="AN822" s="19"/>
      <c r="AO822" s="19"/>
    </row>
    <row r="823" spans="16:41" x14ac:dyDescent="0.2">
      <c r="P823" s="17"/>
      <c r="Q823" s="17"/>
      <c r="R823" s="17"/>
      <c r="S823" s="17"/>
      <c r="T823" s="17"/>
      <c r="U823" s="17"/>
      <c r="V823" s="17"/>
      <c r="W823" s="17"/>
      <c r="X823" s="17"/>
      <c r="Y823" s="17"/>
      <c r="Z823" s="17"/>
      <c r="AA823" s="17"/>
      <c r="AB823" s="17"/>
      <c r="AC823" s="17"/>
      <c r="AD823" s="17"/>
      <c r="AE823" s="17"/>
      <c r="AF823" s="17"/>
      <c r="AG823" s="17"/>
      <c r="AH823" s="17"/>
      <c r="AI823" s="17"/>
      <c r="AJ823" s="17"/>
      <c r="AK823" s="17"/>
      <c r="AL823" s="19"/>
      <c r="AM823" s="19"/>
      <c r="AN823" s="19"/>
      <c r="AO823" s="19"/>
    </row>
    <row r="824" spans="16:41" x14ac:dyDescent="0.2">
      <c r="P824" s="17"/>
      <c r="Q824" s="17"/>
      <c r="R824" s="17"/>
      <c r="S824" s="17"/>
      <c r="T824" s="17"/>
      <c r="U824" s="17"/>
      <c r="V824" s="17"/>
      <c r="W824" s="17"/>
      <c r="X824" s="17"/>
      <c r="Y824" s="17"/>
      <c r="Z824" s="17"/>
      <c r="AA824" s="17"/>
      <c r="AB824" s="17"/>
      <c r="AC824" s="17"/>
      <c r="AD824" s="17"/>
      <c r="AE824" s="17"/>
      <c r="AF824" s="17"/>
      <c r="AG824" s="17"/>
      <c r="AH824" s="17"/>
      <c r="AI824" s="17"/>
      <c r="AJ824" s="17"/>
      <c r="AK824" s="17"/>
      <c r="AL824" s="19"/>
      <c r="AM824" s="19"/>
      <c r="AN824" s="19"/>
      <c r="AO824" s="19"/>
    </row>
    <row r="825" spans="16:41" x14ac:dyDescent="0.2">
      <c r="P825" s="17"/>
      <c r="Q825" s="17"/>
      <c r="R825" s="17"/>
      <c r="S825" s="17"/>
      <c r="T825" s="17"/>
      <c r="U825" s="17"/>
      <c r="V825" s="17"/>
      <c r="W825" s="17"/>
      <c r="X825" s="17"/>
      <c r="Y825" s="17"/>
      <c r="Z825" s="17"/>
      <c r="AA825" s="17"/>
      <c r="AB825" s="17"/>
      <c r="AC825" s="17"/>
      <c r="AD825" s="17"/>
      <c r="AE825" s="17"/>
      <c r="AF825" s="17"/>
      <c r="AG825" s="17"/>
      <c r="AH825" s="17"/>
      <c r="AI825" s="17"/>
      <c r="AJ825" s="17"/>
      <c r="AK825" s="17"/>
      <c r="AL825" s="19"/>
      <c r="AM825" s="19"/>
      <c r="AN825" s="19"/>
      <c r="AO825" s="19"/>
    </row>
    <row r="826" spans="16:41" x14ac:dyDescent="0.2">
      <c r="P826" s="17"/>
      <c r="Q826" s="17"/>
      <c r="R826" s="17"/>
      <c r="S826" s="17"/>
      <c r="T826" s="17"/>
      <c r="U826" s="17"/>
      <c r="V826" s="17"/>
      <c r="W826" s="17"/>
      <c r="X826" s="17"/>
      <c r="Y826" s="17"/>
      <c r="Z826" s="17"/>
      <c r="AA826" s="17"/>
      <c r="AB826" s="17"/>
      <c r="AC826" s="17"/>
      <c r="AD826" s="17"/>
      <c r="AE826" s="17"/>
      <c r="AF826" s="17"/>
      <c r="AG826" s="17"/>
      <c r="AH826" s="17"/>
      <c r="AI826" s="17"/>
      <c r="AJ826" s="17"/>
      <c r="AK826" s="17"/>
      <c r="AL826" s="19"/>
      <c r="AM826" s="19"/>
      <c r="AN826" s="19"/>
      <c r="AO826" s="19"/>
    </row>
    <row r="827" spans="16:41" x14ac:dyDescent="0.2">
      <c r="P827" s="17"/>
      <c r="Q827" s="17"/>
      <c r="R827" s="17"/>
      <c r="S827" s="17"/>
      <c r="T827" s="17"/>
      <c r="U827" s="17"/>
      <c r="V827" s="17"/>
      <c r="W827" s="17"/>
      <c r="X827" s="17"/>
      <c r="Y827" s="17"/>
      <c r="Z827" s="17"/>
      <c r="AA827" s="17"/>
      <c r="AB827" s="17"/>
      <c r="AC827" s="17"/>
      <c r="AD827" s="17"/>
      <c r="AE827" s="17"/>
      <c r="AF827" s="17"/>
      <c r="AG827" s="17"/>
      <c r="AH827" s="17"/>
      <c r="AI827" s="17"/>
      <c r="AJ827" s="17"/>
      <c r="AK827" s="17"/>
      <c r="AL827" s="19"/>
      <c r="AM827" s="19"/>
      <c r="AN827" s="19"/>
      <c r="AO827" s="19"/>
    </row>
    <row r="828" spans="16:41" x14ac:dyDescent="0.2">
      <c r="P828" s="17"/>
      <c r="Q828" s="17"/>
      <c r="R828" s="17"/>
      <c r="S828" s="17"/>
      <c r="T828" s="17"/>
      <c r="U828" s="17"/>
      <c r="V828" s="17"/>
      <c r="W828" s="17"/>
      <c r="X828" s="17"/>
      <c r="Y828" s="17"/>
      <c r="Z828" s="17"/>
      <c r="AA828" s="17"/>
      <c r="AB828" s="17"/>
      <c r="AC828" s="17"/>
      <c r="AD828" s="17"/>
      <c r="AE828" s="17"/>
      <c r="AF828" s="17"/>
      <c r="AG828" s="17"/>
      <c r="AH828" s="17"/>
      <c r="AI828" s="17"/>
      <c r="AJ828" s="17"/>
      <c r="AK828" s="17"/>
      <c r="AL828" s="19"/>
      <c r="AM828" s="19"/>
      <c r="AN828" s="19"/>
      <c r="AO828" s="19"/>
    </row>
    <row r="829" spans="16:41" x14ac:dyDescent="0.2">
      <c r="P829" s="17"/>
      <c r="Q829" s="17"/>
      <c r="R829" s="17"/>
      <c r="S829" s="17"/>
      <c r="T829" s="17"/>
      <c r="U829" s="17"/>
      <c r="V829" s="17"/>
      <c r="W829" s="17"/>
      <c r="X829" s="17"/>
      <c r="Y829" s="17"/>
      <c r="Z829" s="17"/>
      <c r="AA829" s="17"/>
      <c r="AB829" s="17"/>
      <c r="AC829" s="17"/>
      <c r="AD829" s="17"/>
      <c r="AE829" s="17"/>
      <c r="AF829" s="17"/>
      <c r="AG829" s="17"/>
      <c r="AH829" s="17"/>
      <c r="AI829" s="17"/>
      <c r="AJ829" s="17"/>
      <c r="AK829" s="17"/>
      <c r="AL829" s="19"/>
      <c r="AM829" s="19"/>
      <c r="AN829" s="19"/>
      <c r="AO829" s="19"/>
    </row>
    <row r="830" spans="16:41" x14ac:dyDescent="0.2">
      <c r="P830" s="17"/>
      <c r="Q830" s="17"/>
      <c r="R830" s="17"/>
      <c r="S830" s="17"/>
      <c r="T830" s="17"/>
      <c r="U830" s="17"/>
      <c r="V830" s="17"/>
      <c r="W830" s="17"/>
      <c r="X830" s="17"/>
      <c r="Y830" s="17"/>
      <c r="Z830" s="17"/>
      <c r="AA830" s="17"/>
      <c r="AB830" s="17"/>
      <c r="AC830" s="17"/>
      <c r="AD830" s="17"/>
      <c r="AE830" s="17"/>
      <c r="AF830" s="17"/>
      <c r="AG830" s="17"/>
      <c r="AH830" s="17"/>
      <c r="AI830" s="17"/>
      <c r="AJ830" s="17"/>
      <c r="AK830" s="17"/>
      <c r="AL830" s="19"/>
      <c r="AM830" s="19"/>
      <c r="AN830" s="19"/>
      <c r="AO830" s="19"/>
    </row>
    <row r="831" spans="16:41" x14ac:dyDescent="0.2">
      <c r="P831" s="17"/>
      <c r="Q831" s="17"/>
      <c r="R831" s="17"/>
      <c r="S831" s="17"/>
      <c r="T831" s="17"/>
      <c r="U831" s="17"/>
      <c r="V831" s="17"/>
      <c r="W831" s="17"/>
      <c r="X831" s="17"/>
      <c r="Y831" s="17"/>
      <c r="Z831" s="17"/>
      <c r="AA831" s="17"/>
      <c r="AB831" s="17"/>
      <c r="AC831" s="17"/>
      <c r="AD831" s="17"/>
      <c r="AE831" s="17"/>
      <c r="AF831" s="17"/>
      <c r="AG831" s="17"/>
      <c r="AH831" s="17"/>
      <c r="AI831" s="17"/>
      <c r="AJ831" s="17"/>
      <c r="AK831" s="17"/>
      <c r="AL831" s="19"/>
      <c r="AM831" s="19"/>
      <c r="AN831" s="19"/>
      <c r="AO831" s="19"/>
    </row>
    <row r="832" spans="16:41" x14ac:dyDescent="0.2">
      <c r="P832" s="17"/>
      <c r="Q832" s="17"/>
      <c r="R832" s="17"/>
      <c r="S832" s="17"/>
      <c r="T832" s="17"/>
      <c r="U832" s="17"/>
      <c r="V832" s="17"/>
      <c r="W832" s="17"/>
      <c r="X832" s="17"/>
      <c r="Y832" s="17"/>
      <c r="Z832" s="17"/>
      <c r="AA832" s="17"/>
      <c r="AB832" s="17"/>
      <c r="AC832" s="17"/>
      <c r="AD832" s="17"/>
      <c r="AE832" s="17"/>
      <c r="AF832" s="17"/>
      <c r="AG832" s="17"/>
      <c r="AH832" s="17"/>
      <c r="AI832" s="17"/>
      <c r="AJ832" s="17"/>
      <c r="AK832" s="17"/>
      <c r="AL832" s="19"/>
      <c r="AM832" s="19"/>
      <c r="AN832" s="19"/>
      <c r="AO832" s="19"/>
    </row>
    <row r="833" spans="16:41" x14ac:dyDescent="0.2">
      <c r="P833" s="17"/>
      <c r="Q833" s="17"/>
      <c r="R833" s="17"/>
      <c r="S833" s="17"/>
      <c r="T833" s="17"/>
      <c r="U833" s="17"/>
      <c r="V833" s="17"/>
      <c r="W833" s="17"/>
      <c r="X833" s="17"/>
      <c r="Y833" s="17"/>
      <c r="Z833" s="17"/>
      <c r="AA833" s="17"/>
      <c r="AB833" s="17"/>
      <c r="AC833" s="17"/>
      <c r="AD833" s="17"/>
      <c r="AE833" s="17"/>
      <c r="AF833" s="17"/>
      <c r="AG833" s="17"/>
      <c r="AH833" s="17"/>
      <c r="AI833" s="17"/>
      <c r="AJ833" s="17"/>
      <c r="AK833" s="17"/>
      <c r="AL833" s="19"/>
      <c r="AM833" s="19"/>
      <c r="AN833" s="19"/>
      <c r="AO833" s="19"/>
    </row>
    <row r="834" spans="16:41" x14ac:dyDescent="0.2">
      <c r="P834" s="17"/>
      <c r="Q834" s="17"/>
      <c r="R834" s="17"/>
      <c r="S834" s="17"/>
      <c r="T834" s="17"/>
      <c r="U834" s="17"/>
      <c r="V834" s="17"/>
      <c r="W834" s="17"/>
      <c r="X834" s="17"/>
      <c r="Y834" s="17"/>
      <c r="Z834" s="17"/>
      <c r="AA834" s="17"/>
      <c r="AB834" s="17"/>
      <c r="AC834" s="17"/>
      <c r="AD834" s="17"/>
      <c r="AE834" s="17"/>
      <c r="AF834" s="17"/>
      <c r="AG834" s="17"/>
      <c r="AH834" s="17"/>
      <c r="AI834" s="17"/>
      <c r="AJ834" s="17"/>
      <c r="AK834" s="17"/>
      <c r="AL834" s="19"/>
      <c r="AM834" s="19"/>
      <c r="AN834" s="19"/>
      <c r="AO834" s="19"/>
    </row>
    <row r="835" spans="16:41" x14ac:dyDescent="0.2">
      <c r="P835" s="17"/>
      <c r="Q835" s="17"/>
      <c r="R835" s="17"/>
      <c r="S835" s="17"/>
      <c r="T835" s="17"/>
      <c r="U835" s="17"/>
      <c r="V835" s="17"/>
      <c r="W835" s="17"/>
      <c r="X835" s="17"/>
      <c r="Y835" s="17"/>
      <c r="Z835" s="17"/>
      <c r="AA835" s="17"/>
      <c r="AB835" s="17"/>
      <c r="AC835" s="17"/>
      <c r="AD835" s="17"/>
      <c r="AE835" s="17"/>
      <c r="AF835" s="17"/>
      <c r="AG835" s="17"/>
      <c r="AH835" s="17"/>
      <c r="AI835" s="17"/>
      <c r="AJ835" s="17"/>
      <c r="AK835" s="17"/>
      <c r="AL835" s="19"/>
      <c r="AM835" s="19"/>
      <c r="AN835" s="19"/>
      <c r="AO835" s="19"/>
    </row>
    <row r="836" spans="16:41" x14ac:dyDescent="0.2">
      <c r="P836" s="17"/>
      <c r="Q836" s="17"/>
      <c r="R836" s="17"/>
      <c r="S836" s="17"/>
      <c r="T836" s="17"/>
      <c r="U836" s="17"/>
      <c r="V836" s="17"/>
      <c r="W836" s="17"/>
      <c r="X836" s="17"/>
      <c r="Y836" s="17"/>
      <c r="Z836" s="17"/>
      <c r="AA836" s="17"/>
      <c r="AB836" s="17"/>
      <c r="AC836" s="17"/>
      <c r="AD836" s="17"/>
      <c r="AE836" s="17"/>
      <c r="AF836" s="17"/>
      <c r="AG836" s="17"/>
      <c r="AH836" s="17"/>
      <c r="AI836" s="17"/>
      <c r="AJ836" s="17"/>
      <c r="AK836" s="17"/>
      <c r="AL836" s="19"/>
      <c r="AM836" s="19"/>
      <c r="AN836" s="19"/>
      <c r="AO836" s="19"/>
    </row>
    <row r="837" spans="16:41" x14ac:dyDescent="0.2">
      <c r="P837" s="17"/>
      <c r="Q837" s="17"/>
      <c r="R837" s="17"/>
      <c r="S837" s="17"/>
      <c r="T837" s="17"/>
      <c r="U837" s="17"/>
      <c r="V837" s="17"/>
      <c r="W837" s="17"/>
      <c r="X837" s="17"/>
      <c r="Y837" s="17"/>
      <c r="Z837" s="17"/>
      <c r="AA837" s="17"/>
      <c r="AB837" s="17"/>
      <c r="AC837" s="17"/>
      <c r="AD837" s="17"/>
      <c r="AE837" s="17"/>
      <c r="AF837" s="17"/>
      <c r="AG837" s="17"/>
      <c r="AH837" s="17"/>
      <c r="AI837" s="17"/>
      <c r="AJ837" s="17"/>
      <c r="AK837" s="17"/>
      <c r="AL837" s="19"/>
      <c r="AM837" s="19"/>
      <c r="AN837" s="19"/>
      <c r="AO837" s="19"/>
    </row>
    <row r="838" spans="16:41" x14ac:dyDescent="0.2">
      <c r="P838" s="17"/>
      <c r="Q838" s="17"/>
      <c r="R838" s="17"/>
      <c r="S838" s="17"/>
      <c r="T838" s="17"/>
      <c r="U838" s="17"/>
      <c r="V838" s="17"/>
      <c r="W838" s="17"/>
      <c r="X838" s="17"/>
      <c r="Y838" s="17"/>
      <c r="Z838" s="17"/>
      <c r="AA838" s="17"/>
      <c r="AB838" s="17"/>
      <c r="AC838" s="17"/>
      <c r="AD838" s="17"/>
      <c r="AE838" s="17"/>
      <c r="AF838" s="17"/>
      <c r="AG838" s="17"/>
      <c r="AH838" s="17"/>
      <c r="AI838" s="17"/>
      <c r="AJ838" s="17"/>
      <c r="AK838" s="17"/>
      <c r="AL838" s="19"/>
      <c r="AM838" s="19"/>
      <c r="AN838" s="19"/>
      <c r="AO838" s="19"/>
    </row>
    <row r="839" spans="16:41" x14ac:dyDescent="0.2">
      <c r="P839" s="17"/>
      <c r="Q839" s="17"/>
      <c r="R839" s="17"/>
      <c r="S839" s="17"/>
      <c r="T839" s="17"/>
      <c r="U839" s="17"/>
      <c r="V839" s="17"/>
      <c r="W839" s="17"/>
      <c r="X839" s="17"/>
      <c r="Y839" s="17"/>
      <c r="Z839" s="17"/>
      <c r="AA839" s="17"/>
      <c r="AB839" s="17"/>
      <c r="AC839" s="17"/>
      <c r="AD839" s="17"/>
      <c r="AE839" s="17"/>
      <c r="AF839" s="17"/>
      <c r="AG839" s="17"/>
      <c r="AH839" s="17"/>
      <c r="AI839" s="17"/>
      <c r="AJ839" s="17"/>
      <c r="AK839" s="17"/>
      <c r="AL839" s="19"/>
      <c r="AM839" s="19"/>
      <c r="AN839" s="19"/>
      <c r="AO839" s="19"/>
    </row>
    <row r="840" spans="16:41" x14ac:dyDescent="0.2">
      <c r="P840" s="17"/>
      <c r="Q840" s="17"/>
      <c r="R840" s="17"/>
      <c r="S840" s="17"/>
      <c r="T840" s="17"/>
      <c r="U840" s="17"/>
      <c r="V840" s="17"/>
      <c r="W840" s="17"/>
      <c r="X840" s="17"/>
      <c r="Y840" s="17"/>
      <c r="Z840" s="17"/>
      <c r="AA840" s="17"/>
      <c r="AB840" s="17"/>
      <c r="AC840" s="17"/>
      <c r="AD840" s="17"/>
      <c r="AE840" s="17"/>
      <c r="AF840" s="17"/>
      <c r="AG840" s="17"/>
      <c r="AH840" s="17"/>
      <c r="AI840" s="17"/>
      <c r="AJ840" s="17"/>
      <c r="AK840" s="17"/>
      <c r="AL840" s="19"/>
      <c r="AM840" s="19"/>
      <c r="AN840" s="19"/>
      <c r="AO840" s="19"/>
    </row>
    <row r="841" spans="16:41" x14ac:dyDescent="0.2">
      <c r="P841" s="17"/>
      <c r="Q841" s="17"/>
      <c r="R841" s="17"/>
      <c r="S841" s="17"/>
      <c r="T841" s="17"/>
      <c r="U841" s="17"/>
      <c r="V841" s="17"/>
      <c r="W841" s="17"/>
      <c r="X841" s="17"/>
      <c r="Y841" s="17"/>
      <c r="Z841" s="17"/>
      <c r="AA841" s="17"/>
      <c r="AB841" s="17"/>
      <c r="AC841" s="17"/>
      <c r="AD841" s="17"/>
      <c r="AE841" s="17"/>
      <c r="AF841" s="17"/>
      <c r="AG841" s="17"/>
      <c r="AH841" s="17"/>
      <c r="AI841" s="17"/>
      <c r="AJ841" s="17"/>
      <c r="AK841" s="17"/>
      <c r="AL841" s="19"/>
      <c r="AM841" s="19"/>
      <c r="AN841" s="19"/>
      <c r="AO841" s="19"/>
    </row>
    <row r="842" spans="16:41" x14ac:dyDescent="0.2">
      <c r="P842" s="17"/>
      <c r="Q842" s="17"/>
      <c r="R842" s="17"/>
      <c r="S842" s="17"/>
      <c r="T842" s="17"/>
      <c r="U842" s="17"/>
      <c r="V842" s="17"/>
      <c r="W842" s="17"/>
      <c r="X842" s="17"/>
      <c r="Y842" s="17"/>
      <c r="Z842" s="17"/>
      <c r="AA842" s="17"/>
      <c r="AB842" s="17"/>
      <c r="AC842" s="17"/>
      <c r="AD842" s="17"/>
      <c r="AE842" s="17"/>
      <c r="AF842" s="17"/>
      <c r="AG842" s="17"/>
      <c r="AH842" s="17"/>
      <c r="AI842" s="17"/>
      <c r="AJ842" s="17"/>
      <c r="AK842" s="17"/>
      <c r="AL842" s="19"/>
      <c r="AM842" s="19"/>
      <c r="AN842" s="19"/>
      <c r="AO842" s="19"/>
    </row>
    <row r="843" spans="16:41" x14ac:dyDescent="0.2">
      <c r="P843" s="17"/>
      <c r="Q843" s="17"/>
      <c r="R843" s="17"/>
      <c r="S843" s="17"/>
      <c r="T843" s="17"/>
      <c r="U843" s="17"/>
      <c r="V843" s="17"/>
      <c r="W843" s="17"/>
      <c r="X843" s="17"/>
      <c r="Y843" s="17"/>
      <c r="Z843" s="17"/>
      <c r="AA843" s="17"/>
      <c r="AB843" s="17"/>
      <c r="AC843" s="17"/>
      <c r="AD843" s="17"/>
      <c r="AE843" s="17"/>
      <c r="AF843" s="17"/>
      <c r="AG843" s="17"/>
      <c r="AH843" s="17"/>
      <c r="AI843" s="17"/>
      <c r="AJ843" s="17"/>
      <c r="AK843" s="17"/>
      <c r="AL843" s="19"/>
      <c r="AM843" s="19"/>
      <c r="AN843" s="19"/>
      <c r="AO843" s="19"/>
    </row>
    <row r="844" spans="16:41" x14ac:dyDescent="0.2">
      <c r="P844" s="17"/>
      <c r="Q844" s="17"/>
      <c r="R844" s="17"/>
      <c r="S844" s="17"/>
      <c r="T844" s="17"/>
      <c r="U844" s="17"/>
      <c r="V844" s="17"/>
      <c r="W844" s="17"/>
      <c r="X844" s="17"/>
      <c r="Y844" s="17"/>
      <c r="Z844" s="17"/>
      <c r="AA844" s="17"/>
      <c r="AB844" s="17"/>
      <c r="AC844" s="17"/>
      <c r="AD844" s="17"/>
      <c r="AE844" s="17"/>
      <c r="AF844" s="17"/>
      <c r="AG844" s="17"/>
      <c r="AH844" s="17"/>
      <c r="AI844" s="17"/>
      <c r="AJ844" s="17"/>
      <c r="AK844" s="17"/>
      <c r="AL844" s="19"/>
      <c r="AM844" s="19"/>
      <c r="AN844" s="19"/>
      <c r="AO844" s="19"/>
    </row>
    <row r="845" spans="16:41" x14ac:dyDescent="0.2">
      <c r="P845" s="17"/>
      <c r="Q845" s="17"/>
      <c r="R845" s="17"/>
      <c r="S845" s="17"/>
      <c r="T845" s="17"/>
      <c r="U845" s="17"/>
      <c r="V845" s="17"/>
      <c r="W845" s="17"/>
      <c r="X845" s="17"/>
      <c r="Y845" s="17"/>
      <c r="Z845" s="17"/>
      <c r="AA845" s="17"/>
      <c r="AB845" s="17"/>
      <c r="AC845" s="17"/>
      <c r="AD845" s="17"/>
      <c r="AE845" s="17"/>
      <c r="AF845" s="17"/>
      <c r="AG845" s="17"/>
      <c r="AH845" s="17"/>
      <c r="AI845" s="17"/>
      <c r="AJ845" s="17"/>
      <c r="AK845" s="17"/>
      <c r="AL845" s="19"/>
      <c r="AM845" s="19"/>
      <c r="AN845" s="19"/>
      <c r="AO845" s="19"/>
    </row>
    <row r="846" spans="16:41" x14ac:dyDescent="0.2">
      <c r="P846" s="17"/>
      <c r="Q846" s="17"/>
      <c r="R846" s="17"/>
      <c r="S846" s="17"/>
      <c r="T846" s="17"/>
      <c r="U846" s="17"/>
      <c r="V846" s="17"/>
      <c r="W846" s="17"/>
      <c r="X846" s="17"/>
      <c r="Y846" s="17"/>
      <c r="Z846" s="17"/>
      <c r="AA846" s="17"/>
      <c r="AB846" s="17"/>
      <c r="AC846" s="17"/>
      <c r="AD846" s="17"/>
      <c r="AE846" s="17"/>
      <c r="AF846" s="17"/>
      <c r="AG846" s="17"/>
      <c r="AH846" s="17"/>
      <c r="AI846" s="17"/>
      <c r="AJ846" s="17"/>
      <c r="AK846" s="17"/>
      <c r="AL846" s="19"/>
      <c r="AM846" s="19"/>
      <c r="AN846" s="19"/>
      <c r="AO846" s="19"/>
    </row>
    <row r="847" spans="16:41" x14ac:dyDescent="0.2">
      <c r="P847" s="17"/>
      <c r="Q847" s="17"/>
      <c r="R847" s="17"/>
      <c r="S847" s="17"/>
      <c r="T847" s="17"/>
      <c r="U847" s="17"/>
      <c r="V847" s="17"/>
      <c r="W847" s="17"/>
      <c r="X847" s="17"/>
      <c r="Y847" s="17"/>
      <c r="Z847" s="17"/>
      <c r="AA847" s="17"/>
      <c r="AB847" s="17"/>
      <c r="AC847" s="17"/>
      <c r="AD847" s="17"/>
      <c r="AE847" s="17"/>
      <c r="AF847" s="17"/>
      <c r="AG847" s="17"/>
      <c r="AH847" s="17"/>
      <c r="AI847" s="17"/>
      <c r="AJ847" s="17"/>
      <c r="AK847" s="17"/>
      <c r="AL847" s="19"/>
      <c r="AM847" s="19"/>
      <c r="AN847" s="19"/>
      <c r="AO847" s="19"/>
    </row>
    <row r="848" spans="16:41" x14ac:dyDescent="0.2">
      <c r="P848" s="17"/>
      <c r="Q848" s="17"/>
      <c r="R848" s="17"/>
      <c r="S848" s="17"/>
      <c r="T848" s="17"/>
      <c r="U848" s="17"/>
      <c r="V848" s="17"/>
      <c r="W848" s="17"/>
      <c r="X848" s="17"/>
      <c r="Y848" s="17"/>
      <c r="Z848" s="17"/>
      <c r="AA848" s="17"/>
      <c r="AB848" s="17"/>
      <c r="AC848" s="17"/>
      <c r="AD848" s="17"/>
      <c r="AE848" s="17"/>
      <c r="AF848" s="17"/>
      <c r="AG848" s="17"/>
      <c r="AH848" s="17"/>
      <c r="AI848" s="17"/>
      <c r="AJ848" s="17"/>
      <c r="AK848" s="17"/>
      <c r="AL848" s="19"/>
      <c r="AM848" s="19"/>
      <c r="AN848" s="19"/>
      <c r="AO848" s="19"/>
    </row>
    <row r="849" spans="16:41" x14ac:dyDescent="0.2">
      <c r="P849" s="17"/>
      <c r="Q849" s="17"/>
      <c r="R849" s="17"/>
      <c r="S849" s="17"/>
      <c r="T849" s="17"/>
      <c r="U849" s="17"/>
      <c r="V849" s="17"/>
      <c r="W849" s="17"/>
      <c r="X849" s="17"/>
      <c r="Y849" s="17"/>
      <c r="Z849" s="17"/>
      <c r="AA849" s="17"/>
      <c r="AB849" s="17"/>
      <c r="AC849" s="17"/>
      <c r="AD849" s="17"/>
      <c r="AE849" s="17"/>
      <c r="AF849" s="17"/>
      <c r="AG849" s="17"/>
      <c r="AH849" s="17"/>
      <c r="AI849" s="17"/>
      <c r="AJ849" s="17"/>
      <c r="AK849" s="17"/>
      <c r="AL849" s="19"/>
      <c r="AM849" s="19"/>
      <c r="AN849" s="19"/>
      <c r="AO849" s="19"/>
    </row>
    <row r="850" spans="16:41" x14ac:dyDescent="0.2">
      <c r="P850" s="17"/>
      <c r="Q850" s="17"/>
      <c r="R850" s="17"/>
      <c r="S850" s="17"/>
      <c r="T850" s="17"/>
      <c r="U850" s="17"/>
      <c r="V850" s="17"/>
      <c r="W850" s="17"/>
      <c r="X850" s="17"/>
      <c r="Y850" s="17"/>
      <c r="Z850" s="17"/>
      <c r="AA850" s="17"/>
      <c r="AB850" s="17"/>
      <c r="AC850" s="17"/>
      <c r="AD850" s="17"/>
      <c r="AE850" s="17"/>
      <c r="AF850" s="17"/>
      <c r="AG850" s="17"/>
      <c r="AH850" s="17"/>
      <c r="AI850" s="17"/>
      <c r="AJ850" s="17"/>
      <c r="AK850" s="17"/>
      <c r="AL850" s="19"/>
      <c r="AM850" s="19"/>
      <c r="AN850" s="19"/>
      <c r="AO850" s="19"/>
    </row>
    <row r="851" spans="16:41" x14ac:dyDescent="0.2">
      <c r="P851" s="17"/>
      <c r="Q851" s="17"/>
      <c r="R851" s="17"/>
      <c r="S851" s="17"/>
      <c r="T851" s="17"/>
      <c r="U851" s="17"/>
      <c r="V851" s="17"/>
      <c r="W851" s="17"/>
      <c r="X851" s="17"/>
      <c r="Y851" s="17"/>
      <c r="Z851" s="17"/>
      <c r="AA851" s="17"/>
      <c r="AB851" s="17"/>
      <c r="AC851" s="17"/>
      <c r="AD851" s="17"/>
      <c r="AE851" s="17"/>
      <c r="AF851" s="17"/>
      <c r="AG851" s="17"/>
      <c r="AH851" s="17"/>
      <c r="AI851" s="17"/>
      <c r="AJ851" s="17"/>
      <c r="AK851" s="17"/>
      <c r="AL851" s="19"/>
      <c r="AM851" s="19"/>
      <c r="AN851" s="19"/>
      <c r="AO851" s="19"/>
    </row>
    <row r="852" spans="16:41" x14ac:dyDescent="0.2">
      <c r="P852" s="17"/>
      <c r="Q852" s="17"/>
      <c r="R852" s="17"/>
      <c r="S852" s="17"/>
      <c r="T852" s="17"/>
      <c r="U852" s="17"/>
      <c r="V852" s="17"/>
      <c r="W852" s="17"/>
      <c r="X852" s="17"/>
      <c r="Y852" s="17"/>
      <c r="Z852" s="17"/>
      <c r="AA852" s="17"/>
      <c r="AB852" s="17"/>
      <c r="AC852" s="17"/>
      <c r="AD852" s="17"/>
      <c r="AE852" s="17"/>
      <c r="AF852" s="17"/>
      <c r="AG852" s="17"/>
      <c r="AH852" s="17"/>
      <c r="AI852" s="17"/>
      <c r="AJ852" s="17"/>
      <c r="AK852" s="17"/>
      <c r="AL852" s="19"/>
      <c r="AM852" s="19"/>
      <c r="AN852" s="19"/>
      <c r="AO852" s="19"/>
    </row>
    <row r="853" spans="16:41" x14ac:dyDescent="0.2">
      <c r="P853" s="17"/>
      <c r="Q853" s="17"/>
      <c r="R853" s="17"/>
      <c r="S853" s="17"/>
      <c r="T853" s="17"/>
      <c r="U853" s="17"/>
      <c r="V853" s="17"/>
      <c r="W853" s="17"/>
      <c r="X853" s="17"/>
      <c r="Y853" s="17"/>
      <c r="Z853" s="17"/>
      <c r="AA853" s="17"/>
      <c r="AB853" s="17"/>
      <c r="AC853" s="17"/>
      <c r="AD853" s="17"/>
      <c r="AE853" s="17"/>
      <c r="AF853" s="17"/>
      <c r="AG853" s="17"/>
      <c r="AH853" s="17"/>
      <c r="AI853" s="17"/>
      <c r="AJ853" s="17"/>
      <c r="AK853" s="17"/>
      <c r="AL853" s="19"/>
      <c r="AM853" s="19"/>
      <c r="AN853" s="19"/>
      <c r="AO853" s="19"/>
    </row>
    <row r="854" spans="16:41" x14ac:dyDescent="0.2">
      <c r="P854" s="17"/>
      <c r="Q854" s="17"/>
      <c r="R854" s="17"/>
      <c r="S854" s="17"/>
      <c r="T854" s="17"/>
      <c r="U854" s="17"/>
      <c r="V854" s="17"/>
      <c r="W854" s="17"/>
      <c r="X854" s="17"/>
      <c r="Y854" s="17"/>
      <c r="Z854" s="17"/>
      <c r="AA854" s="17"/>
      <c r="AB854" s="17"/>
      <c r="AC854" s="17"/>
      <c r="AD854" s="17"/>
      <c r="AE854" s="17"/>
      <c r="AF854" s="17"/>
      <c r="AG854" s="17"/>
      <c r="AH854" s="17"/>
      <c r="AI854" s="17"/>
      <c r="AJ854" s="17"/>
      <c r="AK854" s="17"/>
      <c r="AL854" s="19"/>
      <c r="AM854" s="19"/>
      <c r="AN854" s="19"/>
      <c r="AO854" s="19"/>
    </row>
    <row r="855" spans="16:41" x14ac:dyDescent="0.2">
      <c r="P855" s="17"/>
      <c r="Q855" s="17"/>
      <c r="R855" s="17"/>
      <c r="S855" s="17"/>
      <c r="T855" s="17"/>
      <c r="U855" s="17"/>
      <c r="V855" s="17"/>
      <c r="W855" s="17"/>
      <c r="X855" s="17"/>
      <c r="Y855" s="17"/>
      <c r="Z855" s="17"/>
      <c r="AA855" s="17"/>
      <c r="AB855" s="17"/>
      <c r="AC855" s="17"/>
      <c r="AD855" s="17"/>
      <c r="AE855" s="17"/>
      <c r="AF855" s="17"/>
      <c r="AG855" s="17"/>
      <c r="AH855" s="17"/>
      <c r="AI855" s="17"/>
      <c r="AJ855" s="17"/>
      <c r="AK855" s="17"/>
      <c r="AL855" s="19"/>
      <c r="AM855" s="19"/>
      <c r="AN855" s="19"/>
      <c r="AO855" s="19"/>
    </row>
    <row r="856" spans="16:41" x14ac:dyDescent="0.2">
      <c r="P856" s="17"/>
      <c r="Q856" s="17"/>
      <c r="R856" s="17"/>
      <c r="S856" s="17"/>
      <c r="T856" s="17"/>
      <c r="U856" s="17"/>
      <c r="V856" s="17"/>
      <c r="W856" s="17"/>
      <c r="X856" s="17"/>
      <c r="Y856" s="17"/>
      <c r="Z856" s="17"/>
      <c r="AA856" s="17"/>
      <c r="AB856" s="17"/>
      <c r="AC856" s="17"/>
      <c r="AD856" s="17"/>
      <c r="AE856" s="17"/>
      <c r="AF856" s="17"/>
      <c r="AG856" s="17"/>
      <c r="AH856" s="17"/>
      <c r="AI856" s="17"/>
      <c r="AJ856" s="17"/>
      <c r="AK856" s="17"/>
      <c r="AL856" s="19"/>
      <c r="AM856" s="19"/>
      <c r="AN856" s="19"/>
      <c r="AO856" s="19"/>
    </row>
    <row r="857" spans="16:41" x14ac:dyDescent="0.2">
      <c r="P857" s="17"/>
      <c r="Q857" s="17"/>
      <c r="R857" s="17"/>
      <c r="S857" s="17"/>
      <c r="T857" s="17"/>
      <c r="U857" s="17"/>
      <c r="V857" s="17"/>
      <c r="W857" s="17"/>
      <c r="X857" s="17"/>
      <c r="Y857" s="17"/>
      <c r="Z857" s="17"/>
      <c r="AA857" s="17"/>
      <c r="AB857" s="17"/>
      <c r="AC857" s="17"/>
      <c r="AD857" s="17"/>
      <c r="AE857" s="17"/>
      <c r="AF857" s="17"/>
      <c r="AG857" s="17"/>
      <c r="AH857" s="17"/>
      <c r="AI857" s="17"/>
      <c r="AJ857" s="17"/>
      <c r="AK857" s="17"/>
      <c r="AL857" s="19"/>
      <c r="AM857" s="19"/>
      <c r="AN857" s="19"/>
      <c r="AO857" s="19"/>
    </row>
    <row r="858" spans="16:41" x14ac:dyDescent="0.2">
      <c r="P858" s="17"/>
      <c r="Q858" s="17"/>
      <c r="R858" s="17"/>
      <c r="S858" s="17"/>
      <c r="T858" s="17"/>
      <c r="U858" s="17"/>
      <c r="V858" s="17"/>
      <c r="W858" s="17"/>
      <c r="X858" s="17"/>
      <c r="Y858" s="17"/>
      <c r="Z858" s="17"/>
      <c r="AA858" s="17"/>
      <c r="AB858" s="17"/>
      <c r="AC858" s="17"/>
      <c r="AD858" s="17"/>
      <c r="AE858" s="17"/>
      <c r="AF858" s="17"/>
      <c r="AG858" s="17"/>
      <c r="AH858" s="17"/>
      <c r="AI858" s="17"/>
      <c r="AJ858" s="17"/>
      <c r="AK858" s="17"/>
      <c r="AL858" s="19"/>
      <c r="AM858" s="19"/>
      <c r="AN858" s="19"/>
      <c r="AO858" s="19"/>
    </row>
    <row r="859" spans="16:41" x14ac:dyDescent="0.2">
      <c r="P859" s="17"/>
      <c r="Q859" s="17"/>
      <c r="R859" s="17"/>
      <c r="S859" s="17"/>
      <c r="T859" s="17"/>
      <c r="U859" s="17"/>
      <c r="V859" s="17"/>
      <c r="W859" s="17"/>
      <c r="X859" s="17"/>
      <c r="Y859" s="17"/>
      <c r="Z859" s="17"/>
      <c r="AA859" s="17"/>
      <c r="AB859" s="17"/>
      <c r="AC859" s="17"/>
      <c r="AD859" s="17"/>
      <c r="AE859" s="17"/>
      <c r="AF859" s="17"/>
      <c r="AG859" s="17"/>
      <c r="AH859" s="17"/>
      <c r="AI859" s="17"/>
      <c r="AJ859" s="17"/>
      <c r="AK859" s="17"/>
      <c r="AL859" s="19"/>
      <c r="AM859" s="19"/>
      <c r="AN859" s="19"/>
      <c r="AO859" s="19"/>
    </row>
    <row r="860" spans="16:41" x14ac:dyDescent="0.2">
      <c r="P860" s="17"/>
      <c r="Q860" s="17"/>
      <c r="R860" s="17"/>
      <c r="S860" s="17"/>
      <c r="T860" s="17"/>
      <c r="U860" s="17"/>
      <c r="V860" s="17"/>
      <c r="W860" s="17"/>
      <c r="X860" s="17"/>
      <c r="Y860" s="17"/>
      <c r="Z860" s="17"/>
      <c r="AA860" s="17"/>
      <c r="AB860" s="17"/>
      <c r="AC860" s="17"/>
      <c r="AD860" s="17"/>
      <c r="AE860" s="17"/>
      <c r="AF860" s="17"/>
      <c r="AG860" s="17"/>
      <c r="AH860" s="17"/>
      <c r="AI860" s="17"/>
      <c r="AJ860" s="17"/>
      <c r="AK860" s="17"/>
      <c r="AL860" s="19"/>
      <c r="AM860" s="19"/>
      <c r="AN860" s="19"/>
      <c r="AO860" s="19"/>
    </row>
    <row r="861" spans="16:41" x14ac:dyDescent="0.2">
      <c r="Y861" s="17"/>
      <c r="Z861" s="17"/>
      <c r="AA861" s="17"/>
      <c r="AB861" s="17"/>
      <c r="AC861" s="17"/>
      <c r="AD861" s="17"/>
      <c r="AE861" s="17"/>
      <c r="AF861" s="17"/>
      <c r="AG861" s="17"/>
      <c r="AH861" s="17"/>
      <c r="AI861" s="17"/>
      <c r="AJ861" s="17"/>
      <c r="AK861" s="17"/>
      <c r="AL861" s="19"/>
      <c r="AM861" s="19"/>
      <c r="AN861" s="19"/>
      <c r="AO861" s="19"/>
    </row>
    <row r="862" spans="16:41" x14ac:dyDescent="0.2">
      <c r="Y862" s="17"/>
      <c r="Z862" s="17"/>
      <c r="AA862" s="17"/>
      <c r="AB862" s="17"/>
      <c r="AC862" s="17"/>
      <c r="AD862" s="17"/>
      <c r="AE862" s="17"/>
      <c r="AF862" s="17"/>
      <c r="AG862" s="17"/>
      <c r="AH862" s="17"/>
      <c r="AI862" s="17"/>
      <c r="AJ862" s="17"/>
      <c r="AK862" s="17"/>
      <c r="AL862" s="19"/>
      <c r="AM862" s="19"/>
      <c r="AN862" s="19"/>
      <c r="AO862" s="19"/>
    </row>
    <row r="863" spans="16:41" x14ac:dyDescent="0.2">
      <c r="Y863" s="17"/>
      <c r="Z863" s="17"/>
      <c r="AA863" s="17"/>
      <c r="AB863" s="17"/>
      <c r="AC863" s="17"/>
      <c r="AD863" s="17"/>
      <c r="AE863" s="17"/>
      <c r="AF863" s="17"/>
      <c r="AG863" s="17"/>
      <c r="AH863" s="17"/>
      <c r="AI863" s="17"/>
      <c r="AJ863" s="17"/>
      <c r="AK863" s="17"/>
      <c r="AL863" s="19"/>
      <c r="AM863" s="19"/>
      <c r="AN863" s="19"/>
      <c r="AO863" s="19"/>
    </row>
    <row r="864" spans="16:41" x14ac:dyDescent="0.2">
      <c r="Y864" s="17"/>
      <c r="Z864" s="17"/>
      <c r="AA864" s="17"/>
      <c r="AB864" s="17"/>
      <c r="AC864" s="17"/>
      <c r="AD864" s="17"/>
      <c r="AE864" s="17"/>
      <c r="AF864" s="17"/>
      <c r="AG864" s="17"/>
      <c r="AH864" s="17"/>
      <c r="AI864" s="17"/>
      <c r="AJ864" s="17"/>
      <c r="AK864" s="17"/>
      <c r="AL864" s="19"/>
      <c r="AM864" s="19"/>
      <c r="AN864" s="19"/>
      <c r="AO864" s="19"/>
    </row>
    <row r="865" spans="25:41" x14ac:dyDescent="0.2">
      <c r="Y865" s="17"/>
      <c r="Z865" s="17"/>
      <c r="AA865" s="17"/>
      <c r="AB865" s="17"/>
      <c r="AC865" s="17"/>
      <c r="AD865" s="17"/>
      <c r="AE865" s="17"/>
      <c r="AF865" s="17"/>
      <c r="AG865" s="17"/>
      <c r="AH865" s="17"/>
      <c r="AI865" s="17"/>
      <c r="AJ865" s="17"/>
      <c r="AK865" s="17"/>
      <c r="AL865" s="19"/>
      <c r="AM865" s="19"/>
      <c r="AN865" s="19"/>
      <c r="AO865" s="19"/>
    </row>
    <row r="866" spans="25:41" x14ac:dyDescent="0.2">
      <c r="Y866" s="17"/>
      <c r="Z866" s="17"/>
      <c r="AA866" s="17"/>
      <c r="AB866" s="17"/>
      <c r="AC866" s="17"/>
      <c r="AD866" s="17"/>
      <c r="AE866" s="17"/>
      <c r="AF866" s="17"/>
      <c r="AG866" s="17"/>
      <c r="AH866" s="17"/>
      <c r="AI866" s="17"/>
      <c r="AJ866" s="17"/>
      <c r="AK866" s="17"/>
      <c r="AL866" s="19"/>
      <c r="AM866" s="19"/>
      <c r="AN866" s="19"/>
      <c r="AO866" s="19"/>
    </row>
    <row r="867" spans="25:41" x14ac:dyDescent="0.2">
      <c r="Y867" s="17"/>
      <c r="Z867" s="17"/>
      <c r="AA867" s="17"/>
      <c r="AB867" s="17"/>
      <c r="AC867" s="17"/>
      <c r="AD867" s="17"/>
      <c r="AE867" s="17"/>
      <c r="AF867" s="17"/>
      <c r="AG867" s="17"/>
      <c r="AH867" s="17"/>
      <c r="AI867" s="17"/>
      <c r="AJ867" s="17"/>
      <c r="AK867" s="17"/>
      <c r="AL867" s="19"/>
      <c r="AM867" s="19"/>
      <c r="AN867" s="19"/>
      <c r="AO867" s="19"/>
    </row>
    <row r="868" spans="25:41" x14ac:dyDescent="0.2">
      <c r="Y868" s="17"/>
      <c r="Z868" s="17"/>
      <c r="AA868" s="17"/>
      <c r="AB868" s="17"/>
      <c r="AC868" s="17"/>
      <c r="AD868" s="17"/>
      <c r="AE868" s="17"/>
      <c r="AF868" s="17"/>
      <c r="AG868" s="17"/>
      <c r="AH868" s="17"/>
      <c r="AI868" s="17"/>
      <c r="AJ868" s="17"/>
      <c r="AK868" s="17"/>
      <c r="AL868" s="19"/>
      <c r="AM868" s="19"/>
      <c r="AN868" s="19"/>
      <c r="AO868" s="19"/>
    </row>
    <row r="869" spans="25:41" x14ac:dyDescent="0.2">
      <c r="Y869" s="17"/>
      <c r="Z869" s="17"/>
      <c r="AA869" s="17"/>
      <c r="AB869" s="17"/>
      <c r="AC869" s="17"/>
      <c r="AD869" s="17"/>
      <c r="AE869" s="17"/>
      <c r="AF869" s="17"/>
      <c r="AG869" s="17"/>
      <c r="AH869" s="17"/>
      <c r="AI869" s="17"/>
      <c r="AJ869" s="17"/>
      <c r="AK869" s="17"/>
      <c r="AL869" s="19"/>
      <c r="AM869" s="19"/>
      <c r="AN869" s="19"/>
      <c r="AO869" s="19"/>
    </row>
    <row r="870" spans="25:41" x14ac:dyDescent="0.2">
      <c r="Y870" s="17"/>
      <c r="Z870" s="17"/>
      <c r="AA870" s="17"/>
      <c r="AB870" s="17"/>
      <c r="AC870" s="17"/>
      <c r="AD870" s="17"/>
      <c r="AE870" s="17"/>
      <c r="AF870" s="17"/>
      <c r="AG870" s="17"/>
      <c r="AH870" s="17"/>
      <c r="AI870" s="17"/>
      <c r="AJ870" s="17"/>
      <c r="AK870" s="17"/>
      <c r="AL870" s="19"/>
      <c r="AM870" s="19"/>
      <c r="AN870" s="19"/>
      <c r="AO870" s="19"/>
    </row>
    <row r="871" spans="25:41" x14ac:dyDescent="0.2">
      <c r="Y871" s="17"/>
      <c r="Z871" s="17"/>
      <c r="AA871" s="17"/>
      <c r="AB871" s="17"/>
      <c r="AC871" s="17"/>
      <c r="AD871" s="17"/>
      <c r="AE871" s="17"/>
      <c r="AF871" s="17"/>
      <c r="AG871" s="17"/>
      <c r="AH871" s="17"/>
      <c r="AI871" s="17"/>
      <c r="AJ871" s="17"/>
      <c r="AK871" s="17"/>
      <c r="AL871" s="19"/>
      <c r="AM871" s="19"/>
      <c r="AN871" s="19"/>
      <c r="AO871" s="19"/>
    </row>
    <row r="872" spans="25:41" x14ac:dyDescent="0.2">
      <c r="Y872" s="17"/>
      <c r="Z872" s="17"/>
      <c r="AA872" s="17"/>
      <c r="AB872" s="17"/>
      <c r="AC872" s="17"/>
      <c r="AD872" s="17"/>
      <c r="AE872" s="17"/>
      <c r="AF872" s="17"/>
      <c r="AG872" s="17"/>
      <c r="AH872" s="17"/>
      <c r="AI872" s="17"/>
      <c r="AJ872" s="17"/>
      <c r="AK872" s="17"/>
      <c r="AL872" s="19"/>
      <c r="AM872" s="19"/>
      <c r="AN872" s="19"/>
      <c r="AO872" s="19"/>
    </row>
    <row r="873" spans="25:41" x14ac:dyDescent="0.2">
      <c r="Y873" s="17"/>
      <c r="Z873" s="17"/>
      <c r="AA873" s="17"/>
      <c r="AB873" s="17"/>
      <c r="AC873" s="17"/>
      <c r="AD873" s="17"/>
      <c r="AE873" s="17"/>
      <c r="AF873" s="17"/>
      <c r="AG873" s="17"/>
      <c r="AH873" s="17"/>
      <c r="AI873" s="17"/>
      <c r="AJ873" s="17"/>
      <c r="AK873" s="17"/>
      <c r="AL873" s="19"/>
      <c r="AM873" s="19"/>
      <c r="AN873" s="19"/>
      <c r="AO873" s="19"/>
    </row>
    <row r="874" spans="25:41" x14ac:dyDescent="0.2">
      <c r="Y874" s="17"/>
      <c r="Z874" s="17"/>
      <c r="AA874" s="17"/>
      <c r="AB874" s="17"/>
      <c r="AC874" s="17"/>
      <c r="AD874" s="17"/>
      <c r="AE874" s="17"/>
      <c r="AF874" s="17"/>
      <c r="AG874" s="17"/>
      <c r="AH874" s="17"/>
      <c r="AI874" s="17"/>
      <c r="AJ874" s="17"/>
      <c r="AK874" s="17"/>
      <c r="AL874" s="19"/>
      <c r="AM874" s="19"/>
      <c r="AN874" s="19"/>
      <c r="AO874" s="19"/>
    </row>
    <row r="875" spans="25:41" x14ac:dyDescent="0.2">
      <c r="Y875" s="17"/>
      <c r="Z875" s="17"/>
      <c r="AA875" s="17"/>
      <c r="AB875" s="17"/>
      <c r="AC875" s="17"/>
      <c r="AD875" s="17"/>
      <c r="AE875" s="17"/>
      <c r="AF875" s="17"/>
      <c r="AG875" s="17"/>
      <c r="AH875" s="17"/>
      <c r="AI875" s="17"/>
      <c r="AJ875" s="17"/>
      <c r="AK875" s="17"/>
      <c r="AL875" s="19"/>
      <c r="AM875" s="19"/>
      <c r="AN875" s="19"/>
      <c r="AO875" s="19"/>
    </row>
    <row r="876" spans="25:41" x14ac:dyDescent="0.2">
      <c r="Y876" s="17"/>
      <c r="Z876" s="17"/>
      <c r="AA876" s="17"/>
      <c r="AB876" s="17"/>
      <c r="AC876" s="17"/>
      <c r="AD876" s="17"/>
      <c r="AE876" s="17"/>
      <c r="AF876" s="17"/>
      <c r="AG876" s="17"/>
      <c r="AH876" s="17"/>
      <c r="AI876" s="17"/>
      <c r="AJ876" s="17"/>
      <c r="AK876" s="17"/>
      <c r="AL876" s="19"/>
      <c r="AM876" s="19"/>
      <c r="AN876" s="19"/>
      <c r="AO876" s="19"/>
    </row>
    <row r="877" spans="25:41" x14ac:dyDescent="0.2">
      <c r="Y877" s="17"/>
      <c r="Z877" s="17"/>
      <c r="AA877" s="17"/>
      <c r="AB877" s="17"/>
      <c r="AC877" s="17"/>
      <c r="AD877" s="17"/>
      <c r="AE877" s="17"/>
      <c r="AF877" s="17"/>
      <c r="AG877" s="17"/>
      <c r="AH877" s="17"/>
      <c r="AI877" s="17"/>
      <c r="AJ877" s="17"/>
      <c r="AK877" s="17"/>
      <c r="AL877" s="19"/>
      <c r="AM877" s="19"/>
      <c r="AN877" s="19"/>
      <c r="AO877" s="19"/>
    </row>
    <row r="878" spans="25:41" x14ac:dyDescent="0.2">
      <c r="Y878" s="17"/>
      <c r="Z878" s="17"/>
      <c r="AA878" s="17"/>
      <c r="AB878" s="17"/>
      <c r="AC878" s="17"/>
      <c r="AD878" s="17"/>
      <c r="AE878" s="17"/>
      <c r="AF878" s="17"/>
      <c r="AG878" s="17"/>
      <c r="AH878" s="17"/>
      <c r="AI878" s="17"/>
      <c r="AJ878" s="17"/>
      <c r="AK878" s="17"/>
      <c r="AL878" s="19"/>
      <c r="AM878" s="19"/>
      <c r="AN878" s="19"/>
      <c r="AO878" s="19"/>
    </row>
    <row r="879" spans="25:41" x14ac:dyDescent="0.2">
      <c r="Y879" s="17"/>
      <c r="Z879" s="17"/>
      <c r="AA879" s="17"/>
      <c r="AB879" s="17"/>
      <c r="AC879" s="17"/>
      <c r="AD879" s="17"/>
      <c r="AE879" s="17"/>
      <c r="AF879" s="17"/>
      <c r="AG879" s="17"/>
      <c r="AH879" s="17"/>
      <c r="AI879" s="17"/>
      <c r="AJ879" s="17"/>
      <c r="AK879" s="17"/>
      <c r="AL879" s="19"/>
      <c r="AM879" s="19"/>
      <c r="AN879" s="19"/>
      <c r="AO879" s="19"/>
    </row>
    <row r="880" spans="25:41" x14ac:dyDescent="0.2">
      <c r="Y880" s="17"/>
      <c r="Z880" s="17"/>
      <c r="AA880" s="17"/>
      <c r="AB880" s="17"/>
      <c r="AC880" s="17"/>
      <c r="AD880" s="17"/>
      <c r="AE880" s="17"/>
      <c r="AF880" s="17"/>
      <c r="AG880" s="17"/>
      <c r="AH880" s="17"/>
      <c r="AI880" s="17"/>
      <c r="AJ880" s="17"/>
      <c r="AK880" s="17"/>
      <c r="AL880" s="19"/>
      <c r="AM880" s="19"/>
      <c r="AN880" s="19"/>
      <c r="AO880" s="19"/>
    </row>
    <row r="881" spans="16:41" x14ac:dyDescent="0.2">
      <c r="Y881" s="17"/>
      <c r="Z881" s="17"/>
      <c r="AA881" s="17"/>
      <c r="AB881" s="17"/>
      <c r="AC881" s="17"/>
      <c r="AD881" s="17"/>
      <c r="AE881" s="17"/>
      <c r="AF881" s="17"/>
      <c r="AG881" s="17"/>
      <c r="AH881" s="17"/>
      <c r="AI881" s="17"/>
      <c r="AJ881" s="17"/>
      <c r="AK881" s="17"/>
      <c r="AL881" s="19"/>
      <c r="AM881" s="19"/>
      <c r="AN881" s="19"/>
      <c r="AO881" s="19"/>
    </row>
    <row r="882" spans="16:41" x14ac:dyDescent="0.2">
      <c r="Y882" s="17"/>
      <c r="Z882" s="17"/>
      <c r="AA882" s="17"/>
      <c r="AB882" s="17"/>
      <c r="AC882" s="17"/>
      <c r="AD882" s="17"/>
      <c r="AE882" s="17"/>
      <c r="AF882" s="17"/>
      <c r="AG882" s="17"/>
      <c r="AH882" s="17"/>
      <c r="AI882" s="17"/>
      <c r="AJ882" s="17"/>
      <c r="AK882" s="17"/>
      <c r="AL882" s="19"/>
      <c r="AM882" s="19"/>
      <c r="AN882" s="19"/>
      <c r="AO882" s="19"/>
    </row>
    <row r="883" spans="16:41" x14ac:dyDescent="0.2">
      <c r="Y883" s="17"/>
      <c r="Z883" s="17"/>
      <c r="AA883" s="17"/>
      <c r="AB883" s="17"/>
      <c r="AC883" s="17"/>
      <c r="AD883" s="17"/>
      <c r="AE883" s="17"/>
      <c r="AF883" s="17"/>
      <c r="AG883" s="17"/>
      <c r="AH883" s="17"/>
      <c r="AI883" s="17"/>
      <c r="AJ883" s="17"/>
      <c r="AK883" s="17"/>
      <c r="AL883" s="19"/>
      <c r="AM883" s="19"/>
      <c r="AN883" s="19"/>
      <c r="AO883" s="19"/>
    </row>
    <row r="884" spans="16:41" x14ac:dyDescent="0.2">
      <c r="Y884" s="17"/>
      <c r="Z884" s="17"/>
      <c r="AA884" s="17"/>
      <c r="AB884" s="17"/>
      <c r="AC884" s="17"/>
      <c r="AD884" s="17"/>
      <c r="AE884" s="17"/>
      <c r="AF884" s="17"/>
      <c r="AG884" s="17"/>
      <c r="AH884" s="17"/>
      <c r="AI884" s="17"/>
      <c r="AJ884" s="17"/>
      <c r="AK884" s="17"/>
      <c r="AL884" s="19"/>
      <c r="AM884" s="19"/>
      <c r="AN884" s="19"/>
      <c r="AO884" s="19"/>
    </row>
    <row r="885" spans="16:41" x14ac:dyDescent="0.2">
      <c r="Y885" s="17"/>
      <c r="Z885" s="17"/>
      <c r="AA885" s="17"/>
      <c r="AB885" s="17"/>
      <c r="AC885" s="17"/>
      <c r="AD885" s="17"/>
      <c r="AE885" s="17"/>
      <c r="AF885" s="17"/>
      <c r="AG885" s="17"/>
      <c r="AH885" s="17"/>
      <c r="AI885" s="17"/>
      <c r="AJ885" s="17"/>
      <c r="AK885" s="17"/>
      <c r="AL885" s="19"/>
      <c r="AM885" s="19"/>
      <c r="AN885" s="19"/>
      <c r="AO885" s="19"/>
    </row>
    <row r="886" spans="16:41" x14ac:dyDescent="0.2">
      <c r="P886" s="17"/>
      <c r="Q886" s="17"/>
      <c r="R886" s="17"/>
      <c r="S886" s="17"/>
      <c r="T886" s="17"/>
      <c r="U886" s="17"/>
      <c r="V886" s="17"/>
      <c r="W886" s="17"/>
      <c r="X886" s="17"/>
      <c r="Y886" s="17"/>
      <c r="Z886" s="17"/>
      <c r="AA886" s="17"/>
      <c r="AB886" s="17"/>
      <c r="AC886" s="17"/>
      <c r="AD886" s="17"/>
      <c r="AE886" s="17"/>
      <c r="AF886" s="17"/>
      <c r="AG886" s="17"/>
      <c r="AH886" s="17"/>
      <c r="AI886" s="17"/>
      <c r="AJ886" s="17"/>
      <c r="AK886" s="17"/>
      <c r="AL886" s="19"/>
      <c r="AM886" s="19"/>
      <c r="AN886" s="19"/>
      <c r="AO886" s="19"/>
    </row>
    <row r="887" spans="16:41" x14ac:dyDescent="0.2">
      <c r="P887" s="17"/>
      <c r="Q887" s="17"/>
      <c r="R887" s="17"/>
      <c r="S887" s="17"/>
      <c r="T887" s="17"/>
      <c r="U887" s="17"/>
      <c r="V887" s="17"/>
      <c r="W887" s="17"/>
      <c r="X887" s="17"/>
      <c r="Y887" s="17"/>
      <c r="Z887" s="17"/>
      <c r="AA887" s="17"/>
      <c r="AB887" s="17"/>
      <c r="AC887" s="17"/>
      <c r="AD887" s="17"/>
      <c r="AE887" s="17"/>
      <c r="AF887" s="17"/>
      <c r="AG887" s="17"/>
      <c r="AH887" s="17"/>
      <c r="AI887" s="17"/>
      <c r="AJ887" s="17"/>
      <c r="AK887" s="17"/>
      <c r="AL887" s="19"/>
      <c r="AM887" s="19"/>
      <c r="AN887" s="19"/>
      <c r="AO887" s="19"/>
    </row>
    <row r="888" spans="16:41" x14ac:dyDescent="0.2">
      <c r="P888" s="17"/>
      <c r="Q888" s="17"/>
      <c r="R888" s="17"/>
      <c r="S888" s="17"/>
      <c r="T888" s="17"/>
      <c r="U888" s="17"/>
      <c r="V888" s="17"/>
      <c r="W888" s="17"/>
      <c r="X888" s="17"/>
      <c r="Y888" s="17"/>
      <c r="Z888" s="17"/>
      <c r="AA888" s="17"/>
      <c r="AB888" s="17"/>
      <c r="AC888" s="17"/>
      <c r="AD888" s="17"/>
      <c r="AE888" s="17"/>
      <c r="AF888" s="17"/>
      <c r="AG888" s="17"/>
      <c r="AH888" s="17"/>
      <c r="AI888" s="17"/>
      <c r="AJ888" s="17"/>
      <c r="AK888" s="17"/>
      <c r="AL888" s="19"/>
      <c r="AM888" s="19"/>
      <c r="AN888" s="19"/>
      <c r="AO888" s="19"/>
    </row>
    <row r="889" spans="16:41" x14ac:dyDescent="0.2">
      <c r="P889" s="17"/>
      <c r="Q889" s="17"/>
      <c r="R889" s="17"/>
      <c r="S889" s="17"/>
      <c r="T889" s="17"/>
      <c r="U889" s="17"/>
      <c r="V889" s="17"/>
      <c r="W889" s="17"/>
      <c r="X889" s="17"/>
      <c r="Y889" s="17"/>
      <c r="Z889" s="17"/>
      <c r="AA889" s="17"/>
      <c r="AB889" s="17"/>
      <c r="AC889" s="17"/>
      <c r="AD889" s="17"/>
      <c r="AE889" s="17"/>
      <c r="AF889" s="17"/>
      <c r="AG889" s="17"/>
      <c r="AH889" s="17"/>
      <c r="AI889" s="17"/>
      <c r="AJ889" s="17"/>
      <c r="AK889" s="17"/>
      <c r="AL889" s="19"/>
      <c r="AM889" s="19"/>
      <c r="AN889" s="19"/>
      <c r="AO889" s="19"/>
    </row>
    <row r="890" spans="16:41" x14ac:dyDescent="0.2">
      <c r="P890" s="17"/>
      <c r="Q890" s="17"/>
      <c r="R890" s="17"/>
      <c r="S890" s="17"/>
      <c r="T890" s="17"/>
      <c r="U890" s="17"/>
      <c r="V890" s="17"/>
      <c r="W890" s="17"/>
      <c r="X890" s="17"/>
      <c r="Y890" s="17"/>
      <c r="Z890" s="17"/>
      <c r="AA890" s="17"/>
      <c r="AB890" s="17"/>
      <c r="AC890" s="17"/>
      <c r="AD890" s="17"/>
      <c r="AE890" s="17"/>
      <c r="AF890" s="17"/>
      <c r="AG890" s="17"/>
      <c r="AH890" s="17"/>
      <c r="AI890" s="17"/>
      <c r="AJ890" s="17"/>
      <c r="AK890" s="17"/>
      <c r="AL890" s="19"/>
      <c r="AM890" s="19"/>
      <c r="AN890" s="19"/>
      <c r="AO890" s="19"/>
    </row>
    <row r="891" spans="16:41" x14ac:dyDescent="0.2">
      <c r="P891" s="17"/>
      <c r="Q891" s="17"/>
      <c r="R891" s="17"/>
      <c r="S891" s="17"/>
      <c r="T891" s="17"/>
      <c r="U891" s="17"/>
      <c r="V891" s="17"/>
      <c r="W891" s="17"/>
      <c r="X891" s="17"/>
      <c r="Y891" s="17"/>
      <c r="Z891" s="17"/>
      <c r="AA891" s="17"/>
      <c r="AB891" s="17"/>
      <c r="AC891" s="17"/>
      <c r="AD891" s="17"/>
      <c r="AE891" s="17"/>
      <c r="AF891" s="17"/>
      <c r="AG891" s="17"/>
      <c r="AH891" s="17"/>
      <c r="AI891" s="17"/>
      <c r="AJ891" s="17"/>
      <c r="AK891" s="17"/>
      <c r="AL891" s="19"/>
      <c r="AM891" s="19"/>
      <c r="AN891" s="19"/>
      <c r="AO891" s="19"/>
    </row>
    <row r="892" spans="16:41" x14ac:dyDescent="0.2">
      <c r="P892" s="17"/>
      <c r="Q892" s="17"/>
      <c r="R892" s="17"/>
      <c r="S892" s="17"/>
      <c r="T892" s="17"/>
      <c r="U892" s="17"/>
      <c r="V892" s="17"/>
      <c r="W892" s="17"/>
      <c r="X892" s="17"/>
      <c r="Y892" s="17"/>
      <c r="Z892" s="17"/>
      <c r="AA892" s="17"/>
      <c r="AB892" s="17"/>
      <c r="AC892" s="17"/>
      <c r="AD892" s="17"/>
      <c r="AE892" s="17"/>
      <c r="AF892" s="17"/>
      <c r="AG892" s="17"/>
      <c r="AH892" s="17"/>
      <c r="AI892" s="17"/>
      <c r="AJ892" s="17"/>
      <c r="AK892" s="17"/>
      <c r="AL892" s="19"/>
      <c r="AM892" s="19"/>
      <c r="AN892" s="19"/>
      <c r="AO892" s="19"/>
    </row>
    <row r="893" spans="16:41" x14ac:dyDescent="0.2">
      <c r="P893" s="17"/>
      <c r="Q893" s="17"/>
      <c r="R893" s="17"/>
      <c r="S893" s="17"/>
      <c r="T893" s="17"/>
      <c r="U893" s="17"/>
      <c r="V893" s="17"/>
      <c r="W893" s="17"/>
      <c r="X893" s="17"/>
      <c r="Y893" s="17"/>
      <c r="Z893" s="17"/>
      <c r="AA893" s="17"/>
      <c r="AB893" s="17"/>
      <c r="AC893" s="17"/>
      <c r="AD893" s="17"/>
      <c r="AE893" s="17"/>
      <c r="AF893" s="17"/>
      <c r="AG893" s="17"/>
      <c r="AH893" s="17"/>
      <c r="AI893" s="17"/>
      <c r="AJ893" s="17"/>
      <c r="AK893" s="17"/>
      <c r="AL893" s="19"/>
      <c r="AM893" s="19"/>
      <c r="AN893" s="19"/>
      <c r="AO893" s="19"/>
    </row>
    <row r="894" spans="16:41" x14ac:dyDescent="0.2">
      <c r="P894" s="17"/>
      <c r="Q894" s="17"/>
      <c r="R894" s="17"/>
      <c r="S894" s="17"/>
      <c r="T894" s="17"/>
      <c r="U894" s="17"/>
      <c r="V894" s="17"/>
      <c r="W894" s="17"/>
      <c r="X894" s="17"/>
      <c r="Y894" s="17"/>
      <c r="Z894" s="17"/>
      <c r="AA894" s="17"/>
      <c r="AB894" s="17"/>
      <c r="AC894" s="17"/>
      <c r="AD894" s="17"/>
      <c r="AE894" s="17"/>
      <c r="AF894" s="17"/>
      <c r="AG894" s="17"/>
      <c r="AH894" s="17"/>
      <c r="AI894" s="17"/>
      <c r="AJ894" s="17"/>
      <c r="AK894" s="17"/>
      <c r="AL894" s="19"/>
      <c r="AM894" s="19"/>
      <c r="AN894" s="19"/>
      <c r="AO894" s="19"/>
    </row>
    <row r="895" spans="16:41" x14ac:dyDescent="0.2">
      <c r="P895" s="17"/>
      <c r="Q895" s="17"/>
      <c r="R895" s="17"/>
      <c r="S895" s="17"/>
      <c r="T895" s="17"/>
      <c r="U895" s="17"/>
      <c r="V895" s="17"/>
      <c r="W895" s="17"/>
      <c r="X895" s="17"/>
      <c r="Y895" s="17"/>
      <c r="Z895" s="17"/>
      <c r="AA895" s="17"/>
      <c r="AB895" s="17"/>
      <c r="AC895" s="17"/>
      <c r="AD895" s="17"/>
      <c r="AE895" s="17"/>
      <c r="AF895" s="17"/>
      <c r="AG895" s="17"/>
      <c r="AH895" s="17"/>
      <c r="AI895" s="17"/>
      <c r="AJ895" s="17"/>
      <c r="AK895" s="17"/>
      <c r="AL895" s="19"/>
      <c r="AM895" s="19"/>
      <c r="AN895" s="19"/>
      <c r="AO895" s="19"/>
    </row>
    <row r="896" spans="16:41" x14ac:dyDescent="0.2">
      <c r="P896" s="17"/>
      <c r="Q896" s="17"/>
      <c r="R896" s="17"/>
      <c r="S896" s="17"/>
      <c r="T896" s="17"/>
      <c r="U896" s="17"/>
      <c r="V896" s="17"/>
      <c r="W896" s="17"/>
      <c r="X896" s="17"/>
      <c r="Y896" s="17"/>
      <c r="Z896" s="17"/>
      <c r="AA896" s="17"/>
      <c r="AB896" s="17"/>
      <c r="AC896" s="17"/>
      <c r="AD896" s="17"/>
      <c r="AE896" s="17"/>
      <c r="AF896" s="17"/>
      <c r="AG896" s="17"/>
      <c r="AH896" s="17"/>
      <c r="AI896" s="17"/>
      <c r="AJ896" s="17"/>
      <c r="AK896" s="17"/>
      <c r="AL896" s="19"/>
      <c r="AM896" s="19"/>
      <c r="AN896" s="19"/>
      <c r="AO896" s="19"/>
    </row>
    <row r="897" spans="16:41" x14ac:dyDescent="0.2">
      <c r="P897" s="17"/>
      <c r="Q897" s="17"/>
      <c r="R897" s="17"/>
      <c r="S897" s="17"/>
      <c r="T897" s="17"/>
      <c r="U897" s="17"/>
      <c r="V897" s="17"/>
      <c r="W897" s="17"/>
      <c r="X897" s="17"/>
      <c r="Y897" s="17"/>
      <c r="Z897" s="17"/>
      <c r="AA897" s="17"/>
      <c r="AB897" s="17"/>
      <c r="AC897" s="17"/>
      <c r="AD897" s="17"/>
      <c r="AE897" s="17"/>
      <c r="AF897" s="17"/>
      <c r="AG897" s="17"/>
      <c r="AH897" s="17"/>
      <c r="AI897" s="17"/>
      <c r="AJ897" s="17"/>
      <c r="AK897" s="17"/>
      <c r="AL897" s="19"/>
      <c r="AM897" s="19"/>
      <c r="AN897" s="19"/>
      <c r="AO897" s="19"/>
    </row>
    <row r="898" spans="16:41" x14ac:dyDescent="0.2">
      <c r="P898" s="17"/>
      <c r="Q898" s="17"/>
      <c r="R898" s="17"/>
      <c r="S898" s="17"/>
      <c r="T898" s="17"/>
      <c r="U898" s="17"/>
      <c r="V898" s="17"/>
      <c r="W898" s="17"/>
      <c r="X898" s="17"/>
      <c r="Y898" s="17"/>
      <c r="Z898" s="17"/>
      <c r="AA898" s="17"/>
      <c r="AB898" s="17"/>
      <c r="AC898" s="17"/>
      <c r="AD898" s="17"/>
      <c r="AE898" s="17"/>
      <c r="AF898" s="17"/>
      <c r="AG898" s="17"/>
      <c r="AH898" s="17"/>
      <c r="AI898" s="17"/>
      <c r="AJ898" s="17"/>
      <c r="AK898" s="17"/>
      <c r="AL898" s="19"/>
      <c r="AM898" s="19"/>
      <c r="AN898" s="19"/>
      <c r="AO898" s="19"/>
    </row>
    <row r="899" spans="16:41" x14ac:dyDescent="0.2">
      <c r="P899" s="17"/>
      <c r="Q899" s="17"/>
      <c r="R899" s="17"/>
      <c r="S899" s="17"/>
      <c r="T899" s="17"/>
      <c r="U899" s="17"/>
      <c r="V899" s="17"/>
      <c r="W899" s="17"/>
      <c r="X899" s="17"/>
      <c r="Y899" s="17"/>
      <c r="Z899" s="17"/>
      <c r="AA899" s="17"/>
      <c r="AB899" s="17"/>
      <c r="AC899" s="17"/>
      <c r="AD899" s="17"/>
      <c r="AE899" s="17"/>
      <c r="AF899" s="17"/>
      <c r="AG899" s="17"/>
      <c r="AH899" s="17"/>
      <c r="AI899" s="17"/>
      <c r="AJ899" s="17"/>
      <c r="AK899" s="17"/>
      <c r="AL899" s="19"/>
      <c r="AM899" s="19"/>
      <c r="AN899" s="19"/>
      <c r="AO899" s="19"/>
    </row>
    <row r="900" spans="16:41" x14ac:dyDescent="0.2">
      <c r="P900" s="17"/>
      <c r="Q900" s="17"/>
      <c r="R900" s="17"/>
      <c r="S900" s="17"/>
      <c r="T900" s="17"/>
      <c r="U900" s="17"/>
      <c r="V900" s="17"/>
      <c r="W900" s="17"/>
      <c r="X900" s="17"/>
      <c r="Y900" s="17"/>
      <c r="Z900" s="17"/>
      <c r="AA900" s="17"/>
      <c r="AB900" s="17"/>
      <c r="AC900" s="17"/>
      <c r="AD900" s="17"/>
      <c r="AE900" s="17"/>
      <c r="AF900" s="17"/>
      <c r="AG900" s="17"/>
      <c r="AH900" s="17"/>
      <c r="AI900" s="17"/>
      <c r="AJ900" s="17"/>
      <c r="AK900" s="17"/>
      <c r="AL900" s="19"/>
      <c r="AM900" s="19"/>
      <c r="AN900" s="19"/>
      <c r="AO900" s="19"/>
    </row>
    <row r="901" spans="16:41" x14ac:dyDescent="0.2">
      <c r="P901" s="17"/>
      <c r="Q901" s="17"/>
      <c r="R901" s="17"/>
      <c r="S901" s="17"/>
      <c r="T901" s="17"/>
      <c r="U901" s="17"/>
      <c r="V901" s="17"/>
      <c r="W901" s="17"/>
      <c r="X901" s="17"/>
      <c r="Y901" s="17"/>
      <c r="Z901" s="17"/>
      <c r="AA901" s="17"/>
      <c r="AB901" s="17"/>
      <c r="AC901" s="17"/>
      <c r="AD901" s="17"/>
      <c r="AE901" s="17"/>
      <c r="AF901" s="17"/>
      <c r="AG901" s="17"/>
      <c r="AH901" s="17"/>
      <c r="AI901" s="17"/>
      <c r="AJ901" s="17"/>
      <c r="AK901" s="17"/>
      <c r="AL901" s="19"/>
      <c r="AM901" s="19"/>
      <c r="AN901" s="19"/>
      <c r="AO901" s="19"/>
    </row>
    <row r="902" spans="16:41" x14ac:dyDescent="0.2">
      <c r="P902" s="17"/>
      <c r="Q902" s="17"/>
      <c r="R902" s="17"/>
      <c r="S902" s="17"/>
      <c r="T902" s="17"/>
      <c r="U902" s="17"/>
      <c r="V902" s="17"/>
      <c r="W902" s="17"/>
      <c r="X902" s="17"/>
      <c r="Y902" s="17"/>
      <c r="Z902" s="17"/>
      <c r="AA902" s="17"/>
      <c r="AB902" s="17"/>
      <c r="AC902" s="17"/>
      <c r="AD902" s="17"/>
      <c r="AE902" s="17"/>
      <c r="AF902" s="17"/>
      <c r="AG902" s="17"/>
      <c r="AH902" s="17"/>
      <c r="AI902" s="17"/>
      <c r="AJ902" s="17"/>
      <c r="AK902" s="17"/>
      <c r="AL902" s="19"/>
      <c r="AM902" s="19"/>
      <c r="AN902" s="19"/>
      <c r="AO902" s="19"/>
    </row>
    <row r="903" spans="16:41" x14ac:dyDescent="0.2">
      <c r="P903" s="17"/>
      <c r="Q903" s="17"/>
      <c r="R903" s="17"/>
      <c r="S903" s="17"/>
      <c r="T903" s="17"/>
      <c r="U903" s="17"/>
      <c r="V903" s="17"/>
      <c r="W903" s="17"/>
      <c r="X903" s="17"/>
      <c r="Y903" s="17"/>
      <c r="Z903" s="17"/>
      <c r="AA903" s="17"/>
      <c r="AB903" s="17"/>
      <c r="AC903" s="17"/>
      <c r="AD903" s="17"/>
      <c r="AE903" s="17"/>
      <c r="AF903" s="17"/>
      <c r="AG903" s="17"/>
      <c r="AH903" s="17"/>
      <c r="AI903" s="17"/>
      <c r="AJ903" s="17"/>
      <c r="AK903" s="17"/>
      <c r="AL903" s="19"/>
      <c r="AM903" s="19"/>
      <c r="AN903" s="19"/>
      <c r="AO903" s="19"/>
    </row>
    <row r="904" spans="16:41" x14ac:dyDescent="0.2">
      <c r="P904" s="17"/>
      <c r="Q904" s="17"/>
      <c r="R904" s="17"/>
      <c r="S904" s="17"/>
      <c r="T904" s="17"/>
      <c r="U904" s="17"/>
      <c r="V904" s="17"/>
      <c r="W904" s="17"/>
      <c r="X904" s="17"/>
      <c r="Y904" s="17"/>
      <c r="Z904" s="17"/>
      <c r="AA904" s="17"/>
      <c r="AB904" s="17"/>
      <c r="AC904" s="17"/>
      <c r="AD904" s="17"/>
      <c r="AE904" s="17"/>
      <c r="AF904" s="17"/>
      <c r="AG904" s="17"/>
      <c r="AH904" s="17"/>
      <c r="AI904" s="17"/>
      <c r="AJ904" s="17"/>
      <c r="AK904" s="17"/>
      <c r="AL904" s="19"/>
      <c r="AM904" s="19"/>
      <c r="AN904" s="19"/>
      <c r="AO904" s="19"/>
    </row>
    <row r="905" spans="16:41" x14ac:dyDescent="0.2">
      <c r="P905" s="17"/>
      <c r="Q905" s="17"/>
      <c r="R905" s="17"/>
      <c r="S905" s="17"/>
      <c r="T905" s="17"/>
      <c r="U905" s="17"/>
      <c r="V905" s="17"/>
      <c r="W905" s="17"/>
      <c r="X905" s="17"/>
      <c r="Y905" s="17"/>
      <c r="Z905" s="17"/>
      <c r="AA905" s="17"/>
      <c r="AB905" s="17"/>
      <c r="AC905" s="17"/>
      <c r="AD905" s="17"/>
      <c r="AE905" s="17"/>
      <c r="AF905" s="17"/>
      <c r="AG905" s="17"/>
      <c r="AH905" s="17"/>
      <c r="AI905" s="17"/>
      <c r="AJ905" s="17"/>
      <c r="AK905" s="17"/>
      <c r="AL905" s="19"/>
      <c r="AM905" s="19"/>
      <c r="AN905" s="19"/>
      <c r="AO905" s="19"/>
    </row>
    <row r="906" spans="16:41" x14ac:dyDescent="0.2">
      <c r="P906" s="17"/>
      <c r="Q906" s="17"/>
      <c r="R906" s="17"/>
      <c r="S906" s="17"/>
      <c r="T906" s="17"/>
      <c r="U906" s="17"/>
      <c r="V906" s="17"/>
      <c r="W906" s="17"/>
      <c r="X906" s="17"/>
      <c r="Y906" s="17"/>
      <c r="Z906" s="17"/>
      <c r="AA906" s="17"/>
      <c r="AB906" s="17"/>
      <c r="AC906" s="17"/>
      <c r="AD906" s="17"/>
      <c r="AE906" s="17"/>
      <c r="AF906" s="17"/>
      <c r="AG906" s="17"/>
      <c r="AH906" s="17"/>
      <c r="AI906" s="17"/>
      <c r="AJ906" s="17"/>
      <c r="AK906" s="17"/>
      <c r="AL906" s="19"/>
      <c r="AM906" s="19"/>
      <c r="AN906" s="19"/>
      <c r="AO906" s="19"/>
    </row>
    <row r="907" spans="16:41" x14ac:dyDescent="0.2">
      <c r="P907" s="17"/>
      <c r="Q907" s="17"/>
      <c r="R907" s="17"/>
      <c r="S907" s="17"/>
      <c r="T907" s="17"/>
      <c r="U907" s="17"/>
      <c r="V907" s="17"/>
      <c r="W907" s="17"/>
      <c r="X907" s="17"/>
      <c r="Y907" s="17"/>
      <c r="Z907" s="17"/>
      <c r="AA907" s="17"/>
      <c r="AB907" s="17"/>
      <c r="AC907" s="17"/>
      <c r="AD907" s="17"/>
      <c r="AE907" s="17"/>
      <c r="AF907" s="17"/>
      <c r="AG907" s="17"/>
      <c r="AH907" s="17"/>
      <c r="AI907" s="17"/>
      <c r="AJ907" s="17"/>
      <c r="AK907" s="17"/>
      <c r="AL907" s="19"/>
      <c r="AM907" s="19"/>
      <c r="AN907" s="19"/>
      <c r="AO907" s="19"/>
    </row>
    <row r="908" spans="16:41" x14ac:dyDescent="0.2">
      <c r="P908" s="17"/>
      <c r="Q908" s="17"/>
      <c r="R908" s="17"/>
      <c r="S908" s="17"/>
      <c r="T908" s="17"/>
      <c r="U908" s="17"/>
      <c r="V908" s="17"/>
      <c r="W908" s="17"/>
      <c r="X908" s="17"/>
      <c r="Y908" s="17"/>
      <c r="Z908" s="17"/>
      <c r="AA908" s="17"/>
      <c r="AB908" s="17"/>
      <c r="AC908" s="17"/>
      <c r="AD908" s="17"/>
      <c r="AE908" s="17"/>
      <c r="AF908" s="17"/>
      <c r="AG908" s="17"/>
      <c r="AH908" s="17"/>
      <c r="AI908" s="17"/>
      <c r="AJ908" s="17"/>
      <c r="AK908" s="17"/>
      <c r="AL908" s="19"/>
      <c r="AM908" s="19"/>
      <c r="AN908" s="19"/>
      <c r="AO908" s="19"/>
    </row>
    <row r="909" spans="16:41" x14ac:dyDescent="0.2">
      <c r="P909" s="17"/>
      <c r="Q909" s="17"/>
      <c r="R909" s="17"/>
      <c r="S909" s="17"/>
      <c r="T909" s="17"/>
      <c r="U909" s="17"/>
      <c r="V909" s="17"/>
      <c r="W909" s="17"/>
      <c r="X909" s="17"/>
      <c r="Y909" s="17"/>
      <c r="Z909" s="17"/>
      <c r="AA909" s="17"/>
      <c r="AB909" s="17"/>
      <c r="AC909" s="17"/>
      <c r="AD909" s="17"/>
      <c r="AE909" s="17"/>
      <c r="AF909" s="17"/>
      <c r="AG909" s="17"/>
      <c r="AH909" s="17"/>
      <c r="AI909" s="17"/>
      <c r="AJ909" s="17"/>
      <c r="AK909" s="17"/>
      <c r="AL909" s="19"/>
      <c r="AM909" s="19"/>
      <c r="AN909" s="19"/>
      <c r="AO909" s="19"/>
    </row>
    <row r="910" spans="16:41" x14ac:dyDescent="0.2">
      <c r="P910" s="17"/>
      <c r="Q910" s="17"/>
      <c r="R910" s="17"/>
      <c r="S910" s="17"/>
      <c r="T910" s="17"/>
      <c r="U910" s="17"/>
      <c r="V910" s="17"/>
      <c r="W910" s="17"/>
      <c r="X910" s="17"/>
      <c r="Y910" s="17"/>
      <c r="Z910" s="17"/>
      <c r="AA910" s="17"/>
      <c r="AB910" s="17"/>
      <c r="AC910" s="17"/>
      <c r="AD910" s="17"/>
      <c r="AE910" s="17"/>
      <c r="AF910" s="17"/>
      <c r="AG910" s="17"/>
      <c r="AH910" s="17"/>
      <c r="AI910" s="17"/>
      <c r="AJ910" s="17"/>
      <c r="AK910" s="17"/>
      <c r="AL910" s="19"/>
      <c r="AM910" s="19"/>
      <c r="AN910" s="19"/>
      <c r="AO910" s="19"/>
    </row>
    <row r="911" spans="16:41" x14ac:dyDescent="0.2">
      <c r="P911" s="17"/>
      <c r="Q911" s="17"/>
      <c r="R911" s="17"/>
      <c r="S911" s="17"/>
      <c r="T911" s="17"/>
      <c r="U911" s="17"/>
      <c r="V911" s="17"/>
      <c r="W911" s="17"/>
      <c r="X911" s="17"/>
      <c r="Y911" s="17"/>
      <c r="Z911" s="17"/>
      <c r="AA911" s="17"/>
      <c r="AB911" s="17"/>
      <c r="AC911" s="17"/>
      <c r="AD911" s="17"/>
      <c r="AE911" s="17"/>
      <c r="AF911" s="17"/>
      <c r="AG911" s="17"/>
      <c r="AH911" s="17"/>
      <c r="AI911" s="17"/>
      <c r="AJ911" s="17"/>
      <c r="AK911" s="17"/>
      <c r="AL911" s="19"/>
      <c r="AM911" s="19"/>
      <c r="AN911" s="19"/>
      <c r="AO911" s="19"/>
    </row>
    <row r="912" spans="16:41" x14ac:dyDescent="0.2">
      <c r="P912" s="17"/>
      <c r="Q912" s="17"/>
      <c r="R912" s="17"/>
      <c r="S912" s="17"/>
      <c r="T912" s="17"/>
      <c r="U912" s="17"/>
      <c r="V912" s="17"/>
      <c r="W912" s="17"/>
      <c r="X912" s="17"/>
      <c r="Y912" s="17"/>
      <c r="Z912" s="17"/>
      <c r="AA912" s="17"/>
      <c r="AB912" s="17"/>
      <c r="AC912" s="17"/>
      <c r="AD912" s="17"/>
      <c r="AE912" s="17"/>
      <c r="AF912" s="17"/>
      <c r="AG912" s="17"/>
      <c r="AH912" s="17"/>
      <c r="AI912" s="17"/>
      <c r="AJ912" s="17"/>
      <c r="AK912" s="17"/>
      <c r="AL912" s="19"/>
      <c r="AM912" s="19"/>
      <c r="AN912" s="19"/>
      <c r="AO912" s="19"/>
    </row>
    <row r="913" spans="16:41" x14ac:dyDescent="0.2">
      <c r="P913" s="17"/>
      <c r="Q913" s="17"/>
      <c r="R913" s="17"/>
      <c r="S913" s="17"/>
      <c r="T913" s="17"/>
      <c r="U913" s="17"/>
      <c r="V913" s="17"/>
      <c r="W913" s="17"/>
      <c r="X913" s="17"/>
      <c r="Y913" s="17"/>
      <c r="Z913" s="17"/>
      <c r="AA913" s="17"/>
      <c r="AB913" s="17"/>
      <c r="AC913" s="17"/>
      <c r="AD913" s="17"/>
      <c r="AE913" s="17"/>
      <c r="AF913" s="17"/>
      <c r="AG913" s="17"/>
      <c r="AH913" s="17"/>
      <c r="AI913" s="17"/>
      <c r="AJ913" s="17"/>
      <c r="AK913" s="17"/>
      <c r="AL913" s="19"/>
      <c r="AM913" s="19"/>
      <c r="AN913" s="19"/>
      <c r="AO913" s="19"/>
    </row>
    <row r="914" spans="16:41" x14ac:dyDescent="0.2">
      <c r="P914" s="17"/>
      <c r="Q914" s="17"/>
      <c r="R914" s="17"/>
      <c r="S914" s="17"/>
      <c r="T914" s="17"/>
      <c r="U914" s="17"/>
      <c r="V914" s="17"/>
      <c r="W914" s="17"/>
      <c r="X914" s="17"/>
      <c r="Y914" s="17"/>
      <c r="Z914" s="17"/>
      <c r="AA914" s="17"/>
      <c r="AB914" s="17"/>
      <c r="AC914" s="17"/>
      <c r="AD914" s="17"/>
      <c r="AE914" s="17"/>
      <c r="AF914" s="17"/>
      <c r="AG914" s="17"/>
      <c r="AH914" s="17"/>
      <c r="AI914" s="17"/>
      <c r="AJ914" s="17"/>
      <c r="AK914" s="17"/>
      <c r="AL914" s="19"/>
      <c r="AM914" s="19"/>
      <c r="AN914" s="19"/>
      <c r="AO914" s="19"/>
    </row>
    <row r="915" spans="16:41" x14ac:dyDescent="0.2">
      <c r="P915" s="17"/>
      <c r="Q915" s="17"/>
      <c r="R915" s="17"/>
      <c r="S915" s="17"/>
      <c r="T915" s="17"/>
      <c r="U915" s="17"/>
      <c r="V915" s="17"/>
      <c r="W915" s="17"/>
      <c r="X915" s="17"/>
      <c r="Y915" s="17"/>
      <c r="Z915" s="17"/>
      <c r="AA915" s="17"/>
      <c r="AB915" s="17"/>
      <c r="AC915" s="17"/>
      <c r="AD915" s="17"/>
      <c r="AE915" s="17"/>
      <c r="AF915" s="17"/>
      <c r="AG915" s="17"/>
      <c r="AH915" s="17"/>
      <c r="AI915" s="17"/>
      <c r="AJ915" s="17"/>
      <c r="AK915" s="17"/>
      <c r="AL915" s="19"/>
      <c r="AM915" s="19"/>
      <c r="AN915" s="19"/>
      <c r="AO915" s="19"/>
    </row>
    <row r="916" spans="16:41" x14ac:dyDescent="0.2">
      <c r="P916" s="17"/>
      <c r="Q916" s="17"/>
      <c r="R916" s="17"/>
      <c r="S916" s="17"/>
      <c r="T916" s="17"/>
      <c r="U916" s="17"/>
      <c r="V916" s="17"/>
      <c r="W916" s="17"/>
      <c r="X916" s="17"/>
      <c r="Y916" s="17"/>
      <c r="Z916" s="17"/>
      <c r="AA916" s="17"/>
      <c r="AB916" s="17"/>
      <c r="AC916" s="17"/>
      <c r="AD916" s="17"/>
      <c r="AE916" s="17"/>
      <c r="AF916" s="17"/>
      <c r="AG916" s="17"/>
      <c r="AH916" s="17"/>
      <c r="AI916" s="17"/>
      <c r="AJ916" s="17"/>
      <c r="AK916" s="17"/>
      <c r="AL916" s="19"/>
      <c r="AM916" s="19"/>
      <c r="AN916" s="19"/>
      <c r="AO916" s="19"/>
    </row>
    <row r="917" spans="16:41" x14ac:dyDescent="0.2">
      <c r="P917" s="17"/>
      <c r="Q917" s="17"/>
      <c r="R917" s="17"/>
      <c r="S917" s="17"/>
      <c r="T917" s="17"/>
      <c r="U917" s="17"/>
      <c r="V917" s="17"/>
      <c r="W917" s="17"/>
      <c r="X917" s="17"/>
      <c r="Y917" s="17"/>
      <c r="Z917" s="17"/>
      <c r="AA917" s="17"/>
      <c r="AB917" s="17"/>
      <c r="AC917" s="17"/>
      <c r="AD917" s="17"/>
      <c r="AE917" s="17"/>
      <c r="AF917" s="17"/>
      <c r="AG917" s="17"/>
      <c r="AH917" s="17"/>
      <c r="AI917" s="17"/>
      <c r="AJ917" s="17"/>
      <c r="AK917" s="17"/>
      <c r="AL917" s="19"/>
      <c r="AM917" s="19"/>
      <c r="AN917" s="19"/>
      <c r="AO917" s="19"/>
    </row>
    <row r="918" spans="16:41" x14ac:dyDescent="0.2">
      <c r="P918" s="17"/>
      <c r="Q918" s="17"/>
      <c r="R918" s="17"/>
      <c r="S918" s="17"/>
      <c r="T918" s="17"/>
      <c r="U918" s="17"/>
      <c r="V918" s="17"/>
      <c r="W918" s="17"/>
      <c r="X918" s="17"/>
      <c r="Y918" s="17"/>
      <c r="Z918" s="17"/>
      <c r="AA918" s="17"/>
      <c r="AB918" s="17"/>
      <c r="AC918" s="17"/>
      <c r="AD918" s="17"/>
      <c r="AE918" s="17"/>
      <c r="AF918" s="17"/>
      <c r="AG918" s="17"/>
      <c r="AH918" s="17"/>
      <c r="AI918" s="17"/>
      <c r="AJ918" s="17"/>
      <c r="AK918" s="17"/>
      <c r="AL918" s="19"/>
      <c r="AM918" s="19"/>
      <c r="AN918" s="19"/>
      <c r="AO918" s="19"/>
    </row>
    <row r="919" spans="16:41" x14ac:dyDescent="0.2">
      <c r="P919" s="17"/>
      <c r="Q919" s="17"/>
      <c r="R919" s="17"/>
      <c r="S919" s="17"/>
      <c r="T919" s="17"/>
      <c r="U919" s="17"/>
      <c r="V919" s="17"/>
      <c r="W919" s="17"/>
      <c r="X919" s="17"/>
      <c r="Y919" s="17"/>
      <c r="Z919" s="17"/>
      <c r="AA919" s="17"/>
      <c r="AB919" s="17"/>
      <c r="AC919" s="17"/>
      <c r="AD919" s="17"/>
      <c r="AE919" s="17"/>
      <c r="AF919" s="17"/>
      <c r="AG919" s="17"/>
      <c r="AH919" s="17"/>
      <c r="AI919" s="17"/>
      <c r="AJ919" s="17"/>
      <c r="AK919" s="17"/>
      <c r="AL919" s="19"/>
      <c r="AM919" s="19"/>
      <c r="AN919" s="19"/>
      <c r="AO919" s="19"/>
    </row>
    <row r="920" spans="16:41" x14ac:dyDescent="0.2">
      <c r="P920" s="17"/>
      <c r="Q920" s="17"/>
      <c r="R920" s="17"/>
      <c r="S920" s="17"/>
      <c r="T920" s="17"/>
      <c r="U920" s="17"/>
      <c r="V920" s="17"/>
      <c r="W920" s="17"/>
      <c r="X920" s="17"/>
      <c r="Y920" s="17"/>
      <c r="Z920" s="17"/>
      <c r="AA920" s="17"/>
      <c r="AB920" s="17"/>
      <c r="AC920" s="17"/>
      <c r="AD920" s="17"/>
      <c r="AE920" s="17"/>
      <c r="AF920" s="17"/>
      <c r="AG920" s="17"/>
      <c r="AH920" s="17"/>
      <c r="AI920" s="17"/>
      <c r="AJ920" s="17"/>
      <c r="AK920" s="17"/>
      <c r="AL920" s="19"/>
      <c r="AM920" s="19"/>
      <c r="AN920" s="19"/>
      <c r="AO920" s="19"/>
    </row>
    <row r="921" spans="16:41" x14ac:dyDescent="0.2">
      <c r="P921" s="17"/>
      <c r="Q921" s="17"/>
      <c r="R921" s="17"/>
      <c r="S921" s="17"/>
      <c r="T921" s="17"/>
      <c r="U921" s="17"/>
      <c r="V921" s="17"/>
      <c r="W921" s="17"/>
      <c r="X921" s="17"/>
      <c r="Y921" s="17"/>
      <c r="Z921" s="17"/>
      <c r="AA921" s="17"/>
      <c r="AB921" s="17"/>
      <c r="AC921" s="17"/>
      <c r="AD921" s="17"/>
      <c r="AE921" s="17"/>
      <c r="AF921" s="17"/>
      <c r="AG921" s="17"/>
      <c r="AH921" s="17"/>
      <c r="AI921" s="17"/>
      <c r="AJ921" s="17"/>
      <c r="AK921" s="17"/>
      <c r="AL921" s="19"/>
      <c r="AM921" s="19"/>
      <c r="AN921" s="19"/>
      <c r="AO921" s="19"/>
    </row>
    <row r="922" spans="16:41" x14ac:dyDescent="0.2">
      <c r="P922" s="17"/>
      <c r="Q922" s="17"/>
      <c r="R922" s="17"/>
      <c r="S922" s="17"/>
      <c r="T922" s="17"/>
      <c r="U922" s="17"/>
      <c r="V922" s="17"/>
      <c r="W922" s="17"/>
      <c r="X922" s="17"/>
      <c r="Y922" s="17"/>
      <c r="Z922" s="17"/>
      <c r="AA922" s="17"/>
      <c r="AB922" s="17"/>
      <c r="AC922" s="17"/>
      <c r="AD922" s="17"/>
      <c r="AE922" s="17"/>
      <c r="AF922" s="17"/>
      <c r="AG922" s="17"/>
      <c r="AH922" s="17"/>
      <c r="AI922" s="17"/>
      <c r="AJ922" s="17"/>
      <c r="AK922" s="17"/>
      <c r="AL922" s="19"/>
      <c r="AM922" s="19"/>
      <c r="AN922" s="19"/>
      <c r="AO922" s="19"/>
    </row>
    <row r="923" spans="16:41" x14ac:dyDescent="0.2">
      <c r="P923" s="17"/>
      <c r="Q923" s="17"/>
      <c r="R923" s="17"/>
      <c r="S923" s="17"/>
      <c r="T923" s="17"/>
      <c r="U923" s="17"/>
      <c r="V923" s="17"/>
      <c r="W923" s="17"/>
      <c r="X923" s="17"/>
      <c r="Y923" s="17"/>
      <c r="Z923" s="17"/>
      <c r="AA923" s="17"/>
      <c r="AB923" s="17"/>
      <c r="AC923" s="17"/>
      <c r="AD923" s="17"/>
      <c r="AE923" s="17"/>
      <c r="AF923" s="17"/>
      <c r="AG923" s="17"/>
      <c r="AH923" s="17"/>
      <c r="AI923" s="17"/>
      <c r="AJ923" s="17"/>
      <c r="AK923" s="17"/>
      <c r="AL923" s="19"/>
      <c r="AM923" s="19"/>
      <c r="AN923" s="19"/>
      <c r="AO923" s="19"/>
    </row>
    <row r="924" spans="16:41" x14ac:dyDescent="0.2">
      <c r="P924" s="17"/>
      <c r="Q924" s="17"/>
      <c r="R924" s="17"/>
      <c r="S924" s="17"/>
      <c r="T924" s="17"/>
      <c r="U924" s="17"/>
      <c r="V924" s="17"/>
      <c r="W924" s="17"/>
      <c r="X924" s="17"/>
      <c r="Y924" s="17"/>
      <c r="Z924" s="17"/>
      <c r="AA924" s="17"/>
      <c r="AB924" s="17"/>
      <c r="AC924" s="17"/>
      <c r="AD924" s="17"/>
      <c r="AE924" s="17"/>
      <c r="AF924" s="17"/>
      <c r="AG924" s="17"/>
      <c r="AH924" s="17"/>
      <c r="AI924" s="17"/>
      <c r="AJ924" s="17"/>
      <c r="AK924" s="17"/>
      <c r="AL924" s="19"/>
      <c r="AM924" s="19"/>
      <c r="AN924" s="19"/>
      <c r="AO924" s="19"/>
    </row>
    <row r="925" spans="16:41" x14ac:dyDescent="0.2">
      <c r="P925" s="17"/>
      <c r="Q925" s="17"/>
      <c r="R925" s="17"/>
      <c r="S925" s="17"/>
      <c r="T925" s="17"/>
      <c r="U925" s="17"/>
      <c r="V925" s="17"/>
      <c r="W925" s="17"/>
      <c r="X925" s="17"/>
      <c r="Y925" s="17"/>
      <c r="Z925" s="17"/>
      <c r="AA925" s="17"/>
      <c r="AB925" s="17"/>
      <c r="AC925" s="17"/>
      <c r="AD925" s="17"/>
      <c r="AE925" s="17"/>
      <c r="AF925" s="17"/>
      <c r="AG925" s="17"/>
      <c r="AH925" s="17"/>
      <c r="AI925" s="17"/>
      <c r="AJ925" s="17"/>
      <c r="AK925" s="17"/>
      <c r="AL925" s="19"/>
      <c r="AM925" s="19"/>
      <c r="AN925" s="19"/>
      <c r="AO925" s="19"/>
    </row>
    <row r="926" spans="16:41" x14ac:dyDescent="0.2">
      <c r="P926" s="17"/>
      <c r="Q926" s="17"/>
      <c r="R926" s="17"/>
      <c r="S926" s="17"/>
      <c r="T926" s="17"/>
      <c r="U926" s="17"/>
      <c r="V926" s="17"/>
      <c r="W926" s="17"/>
      <c r="X926" s="17"/>
      <c r="Y926" s="17"/>
      <c r="Z926" s="17"/>
      <c r="AA926" s="17"/>
      <c r="AB926" s="17"/>
      <c r="AC926" s="17"/>
      <c r="AD926" s="17"/>
      <c r="AE926" s="17"/>
      <c r="AF926" s="17"/>
      <c r="AG926" s="17"/>
      <c r="AH926" s="17"/>
      <c r="AI926" s="17"/>
      <c r="AJ926" s="17"/>
      <c r="AK926" s="17"/>
      <c r="AL926" s="19"/>
      <c r="AM926" s="19"/>
      <c r="AN926" s="19"/>
      <c r="AO926" s="19"/>
    </row>
    <row r="927" spans="16:41" x14ac:dyDescent="0.2">
      <c r="P927" s="17"/>
      <c r="Q927" s="17"/>
      <c r="R927" s="17"/>
      <c r="S927" s="17"/>
      <c r="T927" s="17"/>
      <c r="U927" s="17"/>
      <c r="V927" s="17"/>
      <c r="W927" s="17"/>
      <c r="X927" s="17"/>
      <c r="Y927" s="17"/>
      <c r="Z927" s="17"/>
      <c r="AA927" s="17"/>
      <c r="AB927" s="17"/>
      <c r="AC927" s="17"/>
      <c r="AD927" s="17"/>
      <c r="AE927" s="17"/>
      <c r="AF927" s="17"/>
      <c r="AG927" s="17"/>
      <c r="AH927" s="17"/>
      <c r="AI927" s="17"/>
      <c r="AJ927" s="17"/>
      <c r="AK927" s="17"/>
      <c r="AL927" s="19"/>
      <c r="AM927" s="19"/>
      <c r="AN927" s="19"/>
      <c r="AO927" s="19"/>
    </row>
    <row r="928" spans="16:41" x14ac:dyDescent="0.2">
      <c r="P928" s="17"/>
      <c r="Q928" s="17"/>
      <c r="R928" s="17"/>
      <c r="S928" s="17"/>
      <c r="T928" s="17"/>
      <c r="U928" s="17"/>
      <c r="V928" s="17"/>
      <c r="W928" s="17"/>
      <c r="X928" s="17"/>
      <c r="Y928" s="17"/>
      <c r="Z928" s="17"/>
      <c r="AA928" s="17"/>
      <c r="AB928" s="17"/>
      <c r="AC928" s="17"/>
      <c r="AD928" s="17"/>
      <c r="AE928" s="17"/>
      <c r="AF928" s="17"/>
      <c r="AG928" s="17"/>
      <c r="AH928" s="17"/>
      <c r="AI928" s="17"/>
      <c r="AJ928" s="17"/>
      <c r="AK928" s="17"/>
      <c r="AL928" s="19"/>
      <c r="AM928" s="19"/>
      <c r="AN928" s="19"/>
      <c r="AO928" s="19"/>
    </row>
    <row r="929" spans="16:41" x14ac:dyDescent="0.2">
      <c r="P929" s="17"/>
      <c r="Q929" s="17"/>
      <c r="R929" s="17"/>
      <c r="S929" s="17"/>
      <c r="T929" s="17"/>
      <c r="U929" s="17"/>
      <c r="V929" s="17"/>
      <c r="W929" s="17"/>
      <c r="X929" s="17"/>
      <c r="Y929" s="17"/>
      <c r="Z929" s="17"/>
      <c r="AA929" s="17"/>
      <c r="AB929" s="17"/>
      <c r="AC929" s="17"/>
      <c r="AD929" s="17"/>
      <c r="AE929" s="17"/>
      <c r="AF929" s="17"/>
      <c r="AG929" s="17"/>
      <c r="AH929" s="17"/>
      <c r="AI929" s="17"/>
      <c r="AJ929" s="17"/>
      <c r="AK929" s="17"/>
      <c r="AL929" s="19"/>
      <c r="AM929" s="19"/>
      <c r="AN929" s="19"/>
      <c r="AO929" s="19"/>
    </row>
    <row r="930" spans="16:41" x14ac:dyDescent="0.2">
      <c r="P930" s="17"/>
      <c r="Q930" s="17"/>
      <c r="R930" s="17"/>
      <c r="S930" s="17"/>
      <c r="T930" s="17"/>
      <c r="U930" s="17"/>
      <c r="V930" s="17"/>
      <c r="W930" s="17"/>
      <c r="X930" s="17"/>
      <c r="Y930" s="17"/>
      <c r="Z930" s="17"/>
      <c r="AA930" s="17"/>
      <c r="AB930" s="17"/>
      <c r="AC930" s="17"/>
      <c r="AD930" s="17"/>
      <c r="AE930" s="17"/>
      <c r="AF930" s="17"/>
      <c r="AG930" s="17"/>
      <c r="AH930" s="17"/>
      <c r="AI930" s="17"/>
      <c r="AJ930" s="17"/>
      <c r="AK930" s="17"/>
      <c r="AL930" s="19"/>
      <c r="AM930" s="19"/>
      <c r="AN930" s="19"/>
      <c r="AO930" s="19"/>
    </row>
    <row r="931" spans="16:41" x14ac:dyDescent="0.2">
      <c r="P931" s="17"/>
      <c r="Q931" s="17"/>
      <c r="R931" s="17"/>
      <c r="S931" s="17"/>
      <c r="T931" s="17"/>
      <c r="U931" s="17"/>
      <c r="V931" s="17"/>
      <c r="W931" s="17"/>
      <c r="X931" s="17"/>
      <c r="Y931" s="17"/>
      <c r="Z931" s="17"/>
      <c r="AA931" s="17"/>
      <c r="AB931" s="17"/>
      <c r="AC931" s="17"/>
      <c r="AD931" s="17"/>
      <c r="AE931" s="17"/>
      <c r="AF931" s="17"/>
      <c r="AG931" s="17"/>
      <c r="AH931" s="17"/>
      <c r="AI931" s="17"/>
      <c r="AJ931" s="17"/>
      <c r="AK931" s="17"/>
      <c r="AL931" s="19"/>
      <c r="AM931" s="19"/>
      <c r="AN931" s="19"/>
      <c r="AO931" s="19"/>
    </row>
    <row r="932" spans="16:41" x14ac:dyDescent="0.2">
      <c r="P932" s="17"/>
      <c r="Q932" s="17"/>
      <c r="R932" s="17"/>
      <c r="S932" s="17"/>
      <c r="T932" s="17"/>
      <c r="U932" s="17"/>
      <c r="V932" s="17"/>
      <c r="W932" s="17"/>
      <c r="X932" s="17"/>
      <c r="Y932" s="17"/>
      <c r="Z932" s="17"/>
      <c r="AA932" s="17"/>
      <c r="AB932" s="17"/>
      <c r="AC932" s="17"/>
      <c r="AD932" s="17"/>
      <c r="AE932" s="17"/>
      <c r="AF932" s="17"/>
      <c r="AG932" s="17"/>
      <c r="AH932" s="17"/>
      <c r="AI932" s="17"/>
      <c r="AJ932" s="17"/>
      <c r="AK932" s="17"/>
      <c r="AL932" s="19"/>
      <c r="AM932" s="19"/>
      <c r="AN932" s="19"/>
      <c r="AO932" s="19"/>
    </row>
    <row r="933" spans="16:41" x14ac:dyDescent="0.2">
      <c r="P933" s="17"/>
      <c r="Q933" s="17"/>
      <c r="R933" s="17"/>
      <c r="S933" s="17"/>
      <c r="T933" s="17"/>
      <c r="U933" s="17"/>
      <c r="V933" s="17"/>
      <c r="W933" s="17"/>
      <c r="X933" s="17"/>
      <c r="Y933" s="17"/>
      <c r="Z933" s="17"/>
      <c r="AA933" s="17"/>
      <c r="AB933" s="17"/>
      <c r="AC933" s="17"/>
      <c r="AD933" s="17"/>
      <c r="AE933" s="17"/>
      <c r="AF933" s="17"/>
      <c r="AG933" s="17"/>
      <c r="AH933" s="17"/>
      <c r="AI933" s="17"/>
      <c r="AJ933" s="17"/>
      <c r="AK933" s="17"/>
      <c r="AL933" s="19"/>
      <c r="AM933" s="19"/>
      <c r="AN933" s="19"/>
      <c r="AO933" s="19"/>
    </row>
    <row r="934" spans="16:41" x14ac:dyDescent="0.2">
      <c r="P934" s="17"/>
      <c r="Q934" s="17"/>
      <c r="R934" s="17"/>
      <c r="S934" s="17"/>
      <c r="T934" s="17"/>
      <c r="U934" s="17"/>
      <c r="V934" s="17"/>
      <c r="W934" s="17"/>
      <c r="X934" s="17"/>
      <c r="Y934" s="17"/>
      <c r="Z934" s="17"/>
      <c r="AA934" s="17"/>
      <c r="AB934" s="17"/>
      <c r="AC934" s="17"/>
      <c r="AD934" s="17"/>
      <c r="AE934" s="17"/>
      <c r="AF934" s="17"/>
      <c r="AG934" s="17"/>
      <c r="AH934" s="17"/>
      <c r="AI934" s="17"/>
      <c r="AJ934" s="17"/>
      <c r="AK934" s="17"/>
      <c r="AL934" s="19"/>
      <c r="AM934" s="19"/>
      <c r="AN934" s="19"/>
      <c r="AO934" s="19"/>
    </row>
    <row r="935" spans="16:41" x14ac:dyDescent="0.2">
      <c r="P935" s="17"/>
      <c r="Q935" s="17"/>
      <c r="R935" s="17"/>
      <c r="S935" s="17"/>
      <c r="T935" s="17"/>
      <c r="U935" s="17"/>
      <c r="V935" s="17"/>
      <c r="W935" s="17"/>
      <c r="X935" s="17"/>
      <c r="Y935" s="17"/>
      <c r="Z935" s="17"/>
      <c r="AA935" s="17"/>
      <c r="AB935" s="17"/>
      <c r="AC935" s="17"/>
      <c r="AD935" s="17"/>
      <c r="AE935" s="17"/>
      <c r="AF935" s="17"/>
      <c r="AG935" s="17"/>
      <c r="AH935" s="17"/>
      <c r="AI935" s="17"/>
      <c r="AJ935" s="17"/>
      <c r="AK935" s="17"/>
      <c r="AL935" s="19"/>
      <c r="AM935" s="19"/>
      <c r="AN935" s="19"/>
      <c r="AO935" s="19"/>
    </row>
    <row r="936" spans="16:41" x14ac:dyDescent="0.2">
      <c r="P936" s="17"/>
      <c r="Q936" s="17"/>
      <c r="R936" s="17"/>
      <c r="S936" s="17"/>
      <c r="T936" s="17"/>
      <c r="U936" s="17"/>
      <c r="V936" s="17"/>
      <c r="W936" s="17"/>
      <c r="X936" s="17"/>
      <c r="Y936" s="17"/>
      <c r="Z936" s="17"/>
      <c r="AA936" s="17"/>
      <c r="AB936" s="17"/>
      <c r="AC936" s="17"/>
      <c r="AD936" s="17"/>
      <c r="AE936" s="17"/>
      <c r="AF936" s="17"/>
      <c r="AG936" s="17"/>
      <c r="AH936" s="17"/>
      <c r="AI936" s="17"/>
      <c r="AJ936" s="17"/>
      <c r="AK936" s="17"/>
      <c r="AL936" s="19"/>
      <c r="AM936" s="19"/>
      <c r="AN936" s="19"/>
      <c r="AO936" s="19"/>
    </row>
    <row r="937" spans="16:41" x14ac:dyDescent="0.2">
      <c r="P937" s="17"/>
      <c r="Q937" s="17"/>
      <c r="R937" s="17"/>
      <c r="S937" s="17"/>
      <c r="T937" s="17"/>
      <c r="U937" s="17"/>
      <c r="V937" s="17"/>
      <c r="W937" s="17"/>
      <c r="X937" s="17"/>
      <c r="Y937" s="17"/>
      <c r="Z937" s="17"/>
      <c r="AA937" s="17"/>
      <c r="AB937" s="17"/>
      <c r="AC937" s="17"/>
      <c r="AD937" s="17"/>
      <c r="AE937" s="17"/>
      <c r="AF937" s="17"/>
      <c r="AG937" s="17"/>
      <c r="AH937" s="17"/>
      <c r="AI937" s="17"/>
      <c r="AJ937" s="17"/>
      <c r="AK937" s="17"/>
      <c r="AL937" s="19"/>
      <c r="AM937" s="19"/>
      <c r="AN937" s="19"/>
      <c r="AO937" s="19"/>
    </row>
    <row r="938" spans="16:41" x14ac:dyDescent="0.2">
      <c r="P938" s="17"/>
      <c r="Q938" s="17"/>
      <c r="R938" s="17"/>
      <c r="S938" s="17"/>
      <c r="T938" s="17"/>
      <c r="U938" s="17"/>
      <c r="V938" s="17"/>
      <c r="W938" s="17"/>
      <c r="X938" s="17"/>
      <c r="Y938" s="17"/>
      <c r="Z938" s="17"/>
      <c r="AA938" s="17"/>
      <c r="AB938" s="17"/>
      <c r="AC938" s="17"/>
      <c r="AD938" s="17"/>
      <c r="AE938" s="17"/>
      <c r="AF938" s="17"/>
      <c r="AG938" s="17"/>
      <c r="AH938" s="17"/>
      <c r="AI938" s="17"/>
      <c r="AJ938" s="17"/>
      <c r="AK938" s="17"/>
      <c r="AL938" s="19"/>
      <c r="AM938" s="19"/>
      <c r="AN938" s="19"/>
      <c r="AO938" s="19"/>
    </row>
    <row r="939" spans="16:41" x14ac:dyDescent="0.2">
      <c r="P939" s="17"/>
      <c r="Q939" s="17"/>
      <c r="R939" s="17"/>
      <c r="S939" s="17"/>
      <c r="T939" s="17"/>
      <c r="U939" s="17"/>
      <c r="V939" s="17"/>
      <c r="W939" s="17"/>
      <c r="X939" s="17"/>
      <c r="Y939" s="17"/>
      <c r="Z939" s="17"/>
      <c r="AA939" s="17"/>
      <c r="AB939" s="17"/>
      <c r="AC939" s="17"/>
      <c r="AD939" s="17"/>
      <c r="AE939" s="17"/>
      <c r="AF939" s="17"/>
      <c r="AG939" s="17"/>
      <c r="AH939" s="17"/>
      <c r="AI939" s="17"/>
      <c r="AJ939" s="17"/>
      <c r="AK939" s="17"/>
      <c r="AL939" s="19"/>
      <c r="AM939" s="19"/>
      <c r="AN939" s="19"/>
      <c r="AO939" s="19"/>
    </row>
    <row r="940" spans="16:41" x14ac:dyDescent="0.2">
      <c r="P940" s="17"/>
      <c r="Q940" s="17"/>
      <c r="R940" s="17"/>
      <c r="S940" s="17"/>
      <c r="T940" s="17"/>
      <c r="U940" s="17"/>
      <c r="V940" s="17"/>
      <c r="W940" s="17"/>
      <c r="X940" s="17"/>
      <c r="Y940" s="17"/>
      <c r="Z940" s="17"/>
      <c r="AA940" s="17"/>
      <c r="AB940" s="17"/>
      <c r="AC940" s="17"/>
      <c r="AD940" s="17"/>
      <c r="AE940" s="17"/>
      <c r="AF940" s="17"/>
      <c r="AG940" s="17"/>
      <c r="AH940" s="17"/>
      <c r="AI940" s="17"/>
      <c r="AJ940" s="17"/>
      <c r="AK940" s="17"/>
      <c r="AL940" s="19"/>
      <c r="AM940" s="19"/>
      <c r="AN940" s="19"/>
      <c r="AO940" s="19"/>
    </row>
    <row r="941" spans="16:41" x14ac:dyDescent="0.2">
      <c r="P941" s="17"/>
      <c r="Q941" s="17"/>
      <c r="R941" s="17"/>
      <c r="S941" s="17"/>
      <c r="T941" s="17"/>
      <c r="U941" s="17"/>
      <c r="V941" s="17"/>
      <c r="W941" s="17"/>
      <c r="X941" s="17"/>
      <c r="Y941" s="17"/>
      <c r="Z941" s="17"/>
      <c r="AA941" s="17"/>
      <c r="AB941" s="17"/>
      <c r="AC941" s="17"/>
      <c r="AD941" s="17"/>
      <c r="AE941" s="17"/>
      <c r="AF941" s="17"/>
      <c r="AG941" s="17"/>
      <c r="AH941" s="17"/>
      <c r="AI941" s="17"/>
      <c r="AJ941" s="17"/>
      <c r="AK941" s="17"/>
      <c r="AL941" s="19"/>
      <c r="AM941" s="19"/>
      <c r="AN941" s="19"/>
      <c r="AO941" s="19"/>
    </row>
    <row r="942" spans="16:41" x14ac:dyDescent="0.2">
      <c r="P942" s="17"/>
      <c r="Q942" s="17"/>
      <c r="R942" s="17"/>
      <c r="S942" s="17"/>
      <c r="T942" s="17"/>
      <c r="U942" s="17"/>
      <c r="V942" s="17"/>
      <c r="W942" s="17"/>
      <c r="X942" s="17"/>
      <c r="Y942" s="17"/>
      <c r="Z942" s="17"/>
      <c r="AA942" s="17"/>
      <c r="AB942" s="17"/>
      <c r="AC942" s="17"/>
      <c r="AD942" s="17"/>
      <c r="AE942" s="17"/>
      <c r="AF942" s="17"/>
      <c r="AG942" s="17"/>
      <c r="AH942" s="17"/>
      <c r="AI942" s="17"/>
      <c r="AJ942" s="17"/>
      <c r="AK942" s="17"/>
      <c r="AL942" s="19"/>
      <c r="AM942" s="19"/>
      <c r="AN942" s="19"/>
      <c r="AO942" s="19"/>
    </row>
    <row r="943" spans="16:41" x14ac:dyDescent="0.2">
      <c r="P943" s="17"/>
      <c r="Q943" s="17"/>
      <c r="R943" s="17"/>
      <c r="S943" s="17"/>
      <c r="T943" s="17"/>
      <c r="U943" s="17"/>
      <c r="V943" s="17"/>
      <c r="W943" s="17"/>
      <c r="X943" s="17"/>
      <c r="Y943" s="17"/>
      <c r="Z943" s="17"/>
      <c r="AA943" s="17"/>
      <c r="AB943" s="17"/>
      <c r="AC943" s="17"/>
      <c r="AD943" s="17"/>
      <c r="AE943" s="17"/>
      <c r="AF943" s="17"/>
      <c r="AG943" s="17"/>
      <c r="AH943" s="17"/>
      <c r="AI943" s="17"/>
      <c r="AJ943" s="17"/>
      <c r="AK943" s="17"/>
      <c r="AL943" s="19"/>
      <c r="AM943" s="19"/>
      <c r="AN943" s="19"/>
      <c r="AO943" s="19"/>
    </row>
    <row r="944" spans="16:41" x14ac:dyDescent="0.2">
      <c r="P944" s="17"/>
      <c r="Q944" s="17"/>
      <c r="R944" s="17"/>
      <c r="S944" s="17"/>
      <c r="T944" s="17"/>
      <c r="U944" s="17"/>
      <c r="V944" s="17"/>
      <c r="W944" s="17"/>
      <c r="X944" s="17"/>
      <c r="Y944" s="17"/>
      <c r="Z944" s="17"/>
      <c r="AA944" s="17"/>
      <c r="AB944" s="17"/>
      <c r="AC944" s="17"/>
      <c r="AD944" s="17"/>
      <c r="AE944" s="17"/>
      <c r="AF944" s="17"/>
      <c r="AG944" s="17"/>
      <c r="AH944" s="17"/>
      <c r="AI944" s="17"/>
      <c r="AJ944" s="17"/>
      <c r="AK944" s="17"/>
      <c r="AL944" s="19"/>
      <c r="AM944" s="19"/>
      <c r="AN944" s="19"/>
      <c r="AO944" s="19"/>
    </row>
    <row r="945" spans="16:41" x14ac:dyDescent="0.2">
      <c r="P945" s="17"/>
      <c r="Q945" s="17"/>
      <c r="R945" s="17"/>
      <c r="S945" s="17"/>
      <c r="T945" s="17"/>
      <c r="U945" s="17"/>
      <c r="V945" s="17"/>
      <c r="W945" s="17"/>
      <c r="X945" s="17"/>
      <c r="Y945" s="17"/>
      <c r="Z945" s="17"/>
      <c r="AA945" s="17"/>
      <c r="AB945" s="17"/>
      <c r="AC945" s="17"/>
      <c r="AD945" s="17"/>
      <c r="AE945" s="17"/>
      <c r="AF945" s="17"/>
      <c r="AG945" s="17"/>
      <c r="AH945" s="17"/>
      <c r="AI945" s="17"/>
      <c r="AJ945" s="17"/>
      <c r="AK945" s="17"/>
      <c r="AL945" s="19"/>
      <c r="AM945" s="19"/>
      <c r="AN945" s="19"/>
      <c r="AO945" s="19"/>
    </row>
    <row r="946" spans="16:41" x14ac:dyDescent="0.2">
      <c r="P946" s="17"/>
      <c r="Q946" s="17"/>
      <c r="R946" s="17"/>
      <c r="S946" s="17"/>
      <c r="T946" s="17"/>
      <c r="U946" s="17"/>
      <c r="V946" s="17"/>
      <c r="W946" s="17"/>
      <c r="X946" s="17"/>
      <c r="Y946" s="17"/>
      <c r="Z946" s="17"/>
      <c r="AA946" s="17"/>
      <c r="AB946" s="17"/>
      <c r="AC946" s="17"/>
      <c r="AD946" s="17"/>
      <c r="AE946" s="17"/>
      <c r="AF946" s="17"/>
      <c r="AG946" s="17"/>
      <c r="AH946" s="17"/>
      <c r="AI946" s="17"/>
      <c r="AJ946" s="17"/>
      <c r="AK946" s="17"/>
      <c r="AL946" s="19"/>
      <c r="AM946" s="19"/>
      <c r="AN946" s="19"/>
      <c r="AO946" s="19"/>
    </row>
    <row r="947" spans="16:41" x14ac:dyDescent="0.2">
      <c r="X947" s="17"/>
      <c r="Y947" s="17"/>
      <c r="Z947" s="17"/>
      <c r="AA947" s="17"/>
      <c r="AB947" s="17"/>
      <c r="AC947" s="17"/>
      <c r="AD947" s="17"/>
      <c r="AE947" s="17"/>
      <c r="AF947" s="17"/>
      <c r="AG947" s="17"/>
      <c r="AH947" s="17"/>
      <c r="AI947" s="17"/>
      <c r="AJ947" s="17"/>
      <c r="AK947" s="17"/>
      <c r="AL947" s="19"/>
      <c r="AM947" s="19"/>
      <c r="AN947" s="19"/>
      <c r="AO947" s="19"/>
    </row>
    <row r="948" spans="16:41" x14ac:dyDescent="0.2">
      <c r="X948" s="17"/>
      <c r="Y948" s="17"/>
      <c r="Z948" s="17"/>
      <c r="AA948" s="17"/>
      <c r="AB948" s="17"/>
      <c r="AC948" s="17"/>
      <c r="AD948" s="17"/>
      <c r="AE948" s="17"/>
      <c r="AF948" s="17"/>
      <c r="AG948" s="17"/>
      <c r="AH948" s="17"/>
      <c r="AI948" s="17"/>
      <c r="AJ948" s="17"/>
      <c r="AK948" s="17"/>
      <c r="AL948" s="19"/>
      <c r="AM948" s="19"/>
      <c r="AN948" s="19"/>
      <c r="AO948" s="19"/>
    </row>
    <row r="949" spans="16:41" x14ac:dyDescent="0.2">
      <c r="X949" s="17"/>
      <c r="Y949" s="17"/>
      <c r="Z949" s="17"/>
      <c r="AA949" s="17"/>
      <c r="AB949" s="17"/>
      <c r="AC949" s="17"/>
      <c r="AD949" s="17"/>
      <c r="AE949" s="17"/>
      <c r="AF949" s="17"/>
      <c r="AG949" s="17"/>
      <c r="AH949" s="17"/>
      <c r="AI949" s="17"/>
      <c r="AJ949" s="17"/>
      <c r="AK949" s="17"/>
      <c r="AL949" s="19"/>
      <c r="AM949" s="19"/>
      <c r="AN949" s="19"/>
      <c r="AO949" s="19"/>
    </row>
    <row r="950" spans="16:41" x14ac:dyDescent="0.2">
      <c r="X950" s="17"/>
      <c r="Y950" s="17"/>
      <c r="Z950" s="17"/>
      <c r="AA950" s="17"/>
      <c r="AB950" s="17"/>
      <c r="AC950" s="17"/>
      <c r="AD950" s="17"/>
      <c r="AE950" s="17"/>
      <c r="AF950" s="17"/>
      <c r="AG950" s="17"/>
      <c r="AH950" s="17"/>
      <c r="AI950" s="17"/>
      <c r="AJ950" s="17"/>
      <c r="AK950" s="17"/>
      <c r="AL950" s="19"/>
      <c r="AM950" s="19"/>
      <c r="AN950" s="19"/>
      <c r="AO950" s="19"/>
    </row>
    <row r="951" spans="16:41" x14ac:dyDescent="0.2">
      <c r="X951" s="17"/>
      <c r="Y951" s="17"/>
      <c r="Z951" s="17"/>
      <c r="AA951" s="17"/>
      <c r="AB951" s="17"/>
      <c r="AC951" s="17"/>
      <c r="AD951" s="17"/>
      <c r="AE951" s="17"/>
      <c r="AF951" s="17"/>
      <c r="AG951" s="17"/>
      <c r="AH951" s="17"/>
      <c r="AI951" s="17"/>
      <c r="AJ951" s="17"/>
      <c r="AK951" s="17"/>
      <c r="AL951" s="19"/>
      <c r="AM951" s="19"/>
      <c r="AN951" s="19"/>
      <c r="AO951" s="19"/>
    </row>
    <row r="952" spans="16:41" x14ac:dyDescent="0.2">
      <c r="X952" s="17"/>
      <c r="Y952" s="17"/>
      <c r="Z952" s="17"/>
      <c r="AA952" s="17"/>
      <c r="AB952" s="17"/>
      <c r="AC952" s="17"/>
      <c r="AD952" s="17"/>
      <c r="AE952" s="17"/>
      <c r="AF952" s="17"/>
      <c r="AG952" s="17"/>
      <c r="AH952" s="17"/>
      <c r="AI952" s="17"/>
      <c r="AJ952" s="17"/>
      <c r="AK952" s="17"/>
      <c r="AL952" s="19"/>
      <c r="AM952" s="19"/>
      <c r="AN952" s="19"/>
      <c r="AO952" s="19"/>
    </row>
    <row r="953" spans="16:41" x14ac:dyDescent="0.2">
      <c r="X953" s="17"/>
      <c r="Y953" s="17"/>
      <c r="Z953" s="17"/>
      <c r="AA953" s="17"/>
      <c r="AB953" s="17"/>
      <c r="AC953" s="17"/>
      <c r="AD953" s="17"/>
      <c r="AE953" s="17"/>
      <c r="AF953" s="17"/>
      <c r="AG953" s="17"/>
      <c r="AH953" s="17"/>
      <c r="AI953" s="17"/>
      <c r="AJ953" s="17"/>
      <c r="AK953" s="17"/>
      <c r="AL953" s="19"/>
      <c r="AM953" s="19"/>
      <c r="AN953" s="19"/>
      <c r="AO953" s="19"/>
    </row>
    <row r="954" spans="16:41" x14ac:dyDescent="0.2">
      <c r="X954" s="17"/>
      <c r="Y954" s="17"/>
      <c r="Z954" s="17"/>
      <c r="AA954" s="17"/>
      <c r="AB954" s="17"/>
      <c r="AC954" s="17"/>
      <c r="AD954" s="17"/>
      <c r="AE954" s="17"/>
      <c r="AF954" s="17"/>
      <c r="AG954" s="17"/>
      <c r="AH954" s="17"/>
      <c r="AI954" s="17"/>
      <c r="AJ954" s="17"/>
      <c r="AK954" s="17"/>
      <c r="AL954" s="19"/>
      <c r="AM954" s="19"/>
      <c r="AN954" s="19"/>
      <c r="AO954" s="19"/>
    </row>
    <row r="955" spans="16:41" x14ac:dyDescent="0.2">
      <c r="X955" s="17"/>
      <c r="Y955" s="17"/>
      <c r="Z955" s="17"/>
      <c r="AA955" s="17"/>
      <c r="AB955" s="17"/>
      <c r="AC955" s="17"/>
      <c r="AD955" s="17"/>
      <c r="AE955" s="17"/>
      <c r="AF955" s="17"/>
      <c r="AG955" s="17"/>
      <c r="AH955" s="17"/>
      <c r="AI955" s="17"/>
      <c r="AJ955" s="17"/>
      <c r="AK955" s="17"/>
      <c r="AL955" s="19"/>
      <c r="AM955" s="19"/>
      <c r="AN955" s="19"/>
      <c r="AO955" s="19"/>
    </row>
    <row r="956" spans="16:41" x14ac:dyDescent="0.2">
      <c r="X956" s="17"/>
      <c r="Y956" s="17"/>
      <c r="Z956" s="17"/>
      <c r="AA956" s="17"/>
      <c r="AB956" s="17"/>
      <c r="AC956" s="17"/>
      <c r="AD956" s="17"/>
      <c r="AE956" s="17"/>
      <c r="AF956" s="17"/>
      <c r="AG956" s="17"/>
      <c r="AH956" s="17"/>
      <c r="AI956" s="17"/>
      <c r="AJ956" s="17"/>
      <c r="AK956" s="17"/>
      <c r="AL956" s="19"/>
      <c r="AM956" s="19"/>
      <c r="AN956" s="19"/>
      <c r="AO956" s="19"/>
    </row>
    <row r="957" spans="16:41" x14ac:dyDescent="0.2">
      <c r="X957" s="17"/>
      <c r="Y957" s="17"/>
      <c r="Z957" s="17"/>
      <c r="AA957" s="17"/>
      <c r="AB957" s="17"/>
      <c r="AC957" s="17"/>
      <c r="AD957" s="17"/>
      <c r="AE957" s="17"/>
      <c r="AF957" s="17"/>
      <c r="AG957" s="17"/>
      <c r="AH957" s="17"/>
      <c r="AI957" s="17"/>
      <c r="AJ957" s="17"/>
      <c r="AK957" s="17"/>
      <c r="AL957" s="19"/>
      <c r="AM957" s="19"/>
      <c r="AN957" s="19"/>
      <c r="AO957" s="19"/>
    </row>
    <row r="958" spans="16:41" x14ac:dyDescent="0.2">
      <c r="X958" s="17"/>
      <c r="Y958" s="17"/>
      <c r="Z958" s="17"/>
      <c r="AA958" s="17"/>
      <c r="AB958" s="17"/>
      <c r="AC958" s="17"/>
      <c r="AD958" s="17"/>
      <c r="AE958" s="17"/>
      <c r="AF958" s="17"/>
      <c r="AG958" s="17"/>
      <c r="AH958" s="17"/>
      <c r="AI958" s="17"/>
      <c r="AJ958" s="17"/>
      <c r="AK958" s="17"/>
      <c r="AL958" s="19"/>
      <c r="AM958" s="19"/>
      <c r="AN958" s="19"/>
      <c r="AO958" s="19"/>
    </row>
    <row r="959" spans="16:41" x14ac:dyDescent="0.2">
      <c r="X959" s="17"/>
      <c r="Y959" s="17"/>
      <c r="Z959" s="17"/>
      <c r="AA959" s="17"/>
      <c r="AB959" s="17"/>
      <c r="AC959" s="17"/>
      <c r="AD959" s="17"/>
      <c r="AE959" s="17"/>
      <c r="AF959" s="17"/>
      <c r="AG959" s="17"/>
      <c r="AH959" s="17"/>
      <c r="AI959" s="17"/>
      <c r="AJ959" s="17"/>
      <c r="AK959" s="17"/>
      <c r="AL959" s="19"/>
      <c r="AM959" s="19"/>
      <c r="AN959" s="19"/>
      <c r="AO959" s="19"/>
    </row>
    <row r="960" spans="16:41" x14ac:dyDescent="0.2">
      <c r="X960" s="17"/>
      <c r="Y960" s="17"/>
      <c r="Z960" s="17"/>
      <c r="AA960" s="17"/>
      <c r="AB960" s="17"/>
      <c r="AC960" s="17"/>
      <c r="AD960" s="17"/>
      <c r="AE960" s="17"/>
      <c r="AF960" s="17"/>
      <c r="AG960" s="17"/>
      <c r="AH960" s="17"/>
      <c r="AI960" s="17"/>
      <c r="AJ960" s="17"/>
      <c r="AK960" s="17"/>
      <c r="AL960" s="19"/>
      <c r="AM960" s="19"/>
      <c r="AN960" s="19"/>
      <c r="AO960" s="19"/>
    </row>
    <row r="961" spans="16:41" x14ac:dyDescent="0.2">
      <c r="X961" s="17"/>
      <c r="Y961" s="17"/>
      <c r="Z961" s="17"/>
      <c r="AA961" s="17"/>
      <c r="AB961" s="17"/>
      <c r="AC961" s="17"/>
      <c r="AD961" s="17"/>
      <c r="AE961" s="17"/>
      <c r="AF961" s="17"/>
      <c r="AG961" s="17"/>
      <c r="AH961" s="17"/>
      <c r="AI961" s="17"/>
      <c r="AJ961" s="17"/>
      <c r="AK961" s="17"/>
      <c r="AL961" s="19"/>
      <c r="AM961" s="19"/>
      <c r="AN961" s="19"/>
      <c r="AO961" s="19"/>
    </row>
    <row r="962" spans="16:41" x14ac:dyDescent="0.2">
      <c r="X962" s="17"/>
      <c r="Y962" s="17"/>
      <c r="Z962" s="17"/>
      <c r="AA962" s="17"/>
      <c r="AB962" s="17"/>
      <c r="AC962" s="17"/>
      <c r="AD962" s="17"/>
      <c r="AE962" s="17"/>
      <c r="AF962" s="17"/>
      <c r="AG962" s="17"/>
      <c r="AH962" s="17"/>
      <c r="AI962" s="17"/>
      <c r="AJ962" s="17"/>
      <c r="AK962" s="17"/>
      <c r="AL962" s="19"/>
      <c r="AM962" s="19"/>
      <c r="AN962" s="19"/>
      <c r="AO962" s="19"/>
    </row>
    <row r="963" spans="16:41" x14ac:dyDescent="0.2">
      <c r="X963" s="17"/>
      <c r="Y963" s="17"/>
      <c r="Z963" s="17"/>
      <c r="AA963" s="17"/>
      <c r="AB963" s="17"/>
      <c r="AC963" s="17"/>
      <c r="AD963" s="17"/>
      <c r="AE963" s="17"/>
      <c r="AF963" s="17"/>
      <c r="AG963" s="17"/>
      <c r="AH963" s="17"/>
      <c r="AI963" s="17"/>
      <c r="AJ963" s="17"/>
      <c r="AK963" s="17"/>
      <c r="AL963" s="19"/>
      <c r="AM963" s="19"/>
      <c r="AN963" s="19"/>
      <c r="AO963" s="19"/>
    </row>
    <row r="964" spans="16:41" x14ac:dyDescent="0.2">
      <c r="X964" s="17"/>
      <c r="Y964" s="17"/>
      <c r="Z964" s="17"/>
      <c r="AA964" s="17"/>
      <c r="AB964" s="17"/>
      <c r="AC964" s="17"/>
      <c r="AD964" s="17"/>
      <c r="AE964" s="17"/>
      <c r="AF964" s="17"/>
      <c r="AG964" s="17"/>
      <c r="AH964" s="17"/>
      <c r="AI964" s="17"/>
      <c r="AJ964" s="17"/>
      <c r="AK964" s="17"/>
      <c r="AL964" s="19"/>
      <c r="AM964" s="19"/>
      <c r="AN964" s="19"/>
      <c r="AO964" s="19"/>
    </row>
    <row r="965" spans="16:41" x14ac:dyDescent="0.2">
      <c r="X965" s="17"/>
      <c r="Y965" s="17"/>
      <c r="Z965" s="17"/>
      <c r="AA965" s="17"/>
      <c r="AB965" s="17"/>
      <c r="AC965" s="17"/>
      <c r="AD965" s="17"/>
      <c r="AE965" s="17"/>
      <c r="AF965" s="17"/>
      <c r="AG965" s="17"/>
      <c r="AH965" s="17"/>
      <c r="AI965" s="17"/>
      <c r="AJ965" s="17"/>
      <c r="AK965" s="17"/>
      <c r="AL965" s="19"/>
      <c r="AM965" s="19"/>
      <c r="AN965" s="19"/>
      <c r="AO965" s="19"/>
    </row>
    <row r="966" spans="16:41" x14ac:dyDescent="0.2">
      <c r="X966" s="17"/>
      <c r="Y966" s="17"/>
      <c r="Z966" s="17"/>
      <c r="AA966" s="17"/>
      <c r="AB966" s="17"/>
      <c r="AC966" s="17"/>
      <c r="AD966" s="17"/>
      <c r="AE966" s="17"/>
      <c r="AF966" s="17"/>
      <c r="AG966" s="17"/>
      <c r="AH966" s="17"/>
      <c r="AI966" s="17"/>
      <c r="AJ966" s="17"/>
      <c r="AK966" s="17"/>
      <c r="AL966" s="19"/>
      <c r="AM966" s="19"/>
      <c r="AN966" s="19"/>
      <c r="AO966" s="19"/>
    </row>
    <row r="967" spans="16:41" x14ac:dyDescent="0.2">
      <c r="P967" s="17"/>
      <c r="Q967" s="17"/>
      <c r="R967" s="17"/>
      <c r="S967" s="17"/>
      <c r="T967" s="17"/>
      <c r="U967" s="17"/>
      <c r="V967" s="17"/>
      <c r="W967" s="17"/>
      <c r="X967" s="17"/>
      <c r="Y967" s="17"/>
      <c r="Z967" s="17"/>
      <c r="AA967" s="17"/>
      <c r="AB967" s="17"/>
      <c r="AC967" s="17"/>
      <c r="AD967" s="17"/>
      <c r="AE967" s="17"/>
      <c r="AF967" s="17"/>
      <c r="AG967" s="17"/>
      <c r="AH967" s="17"/>
      <c r="AI967" s="17"/>
      <c r="AJ967" s="17"/>
      <c r="AK967" s="17"/>
      <c r="AL967" s="19"/>
      <c r="AM967" s="19"/>
      <c r="AN967" s="19"/>
      <c r="AO967" s="19"/>
    </row>
    <row r="968" spans="16:41" x14ac:dyDescent="0.2">
      <c r="P968" s="17"/>
      <c r="Q968" s="17"/>
      <c r="R968" s="17"/>
      <c r="S968" s="17"/>
      <c r="T968" s="17"/>
      <c r="U968" s="17"/>
      <c r="V968" s="17"/>
      <c r="W968" s="17"/>
      <c r="X968" s="17"/>
      <c r="Y968" s="17"/>
      <c r="Z968" s="17"/>
      <c r="AA968" s="17"/>
      <c r="AB968" s="17"/>
      <c r="AC968" s="17"/>
      <c r="AD968" s="17"/>
      <c r="AE968" s="17"/>
      <c r="AF968" s="17"/>
      <c r="AG968" s="17"/>
      <c r="AH968" s="17"/>
      <c r="AI968" s="17"/>
      <c r="AJ968" s="17"/>
      <c r="AK968" s="17"/>
      <c r="AL968" s="19"/>
      <c r="AM968" s="19"/>
      <c r="AN968" s="19"/>
      <c r="AO968" s="19"/>
    </row>
    <row r="969" spans="16:41" x14ac:dyDescent="0.2">
      <c r="P969" s="17"/>
      <c r="Q969" s="17"/>
      <c r="R969" s="17"/>
      <c r="S969" s="17"/>
      <c r="T969" s="17"/>
      <c r="U969" s="17"/>
      <c r="V969" s="17"/>
      <c r="W969" s="17"/>
      <c r="X969" s="17"/>
      <c r="Y969" s="17"/>
      <c r="Z969" s="17"/>
      <c r="AA969" s="17"/>
      <c r="AB969" s="17"/>
      <c r="AC969" s="17"/>
      <c r="AD969" s="17"/>
      <c r="AE969" s="17"/>
      <c r="AF969" s="17"/>
      <c r="AG969" s="17"/>
      <c r="AH969" s="17"/>
      <c r="AI969" s="17"/>
      <c r="AJ969" s="17"/>
      <c r="AK969" s="17"/>
      <c r="AL969" s="19"/>
      <c r="AM969" s="19"/>
      <c r="AN969" s="19"/>
      <c r="AO969" s="19"/>
    </row>
    <row r="970" spans="16:41" x14ac:dyDescent="0.2">
      <c r="P970" s="17"/>
      <c r="Q970" s="17"/>
      <c r="R970" s="17"/>
      <c r="S970" s="17"/>
      <c r="T970" s="17"/>
      <c r="U970" s="17"/>
      <c r="V970" s="17"/>
      <c r="W970" s="17"/>
      <c r="X970" s="17"/>
      <c r="Y970" s="17"/>
      <c r="Z970" s="17"/>
      <c r="AA970" s="17"/>
      <c r="AB970" s="17"/>
      <c r="AC970" s="17"/>
      <c r="AD970" s="17"/>
      <c r="AE970" s="17"/>
      <c r="AF970" s="17"/>
      <c r="AG970" s="17"/>
      <c r="AH970" s="17"/>
      <c r="AI970" s="17"/>
      <c r="AJ970" s="17"/>
      <c r="AK970" s="17"/>
      <c r="AL970" s="19"/>
      <c r="AM970" s="19"/>
      <c r="AN970" s="19"/>
      <c r="AO970" s="19"/>
    </row>
    <row r="971" spans="16:41" x14ac:dyDescent="0.2">
      <c r="P971" s="17"/>
      <c r="Q971" s="17"/>
      <c r="R971" s="17"/>
      <c r="S971" s="17"/>
      <c r="T971" s="17"/>
      <c r="U971" s="17"/>
      <c r="V971" s="17"/>
      <c r="W971" s="17"/>
      <c r="X971" s="17"/>
      <c r="Y971" s="17"/>
      <c r="Z971" s="17"/>
      <c r="AA971" s="17"/>
      <c r="AB971" s="17"/>
      <c r="AC971" s="17"/>
      <c r="AD971" s="17"/>
      <c r="AE971" s="17"/>
      <c r="AF971" s="17"/>
      <c r="AG971" s="17"/>
      <c r="AH971" s="17"/>
      <c r="AI971" s="17"/>
      <c r="AJ971" s="17"/>
      <c r="AK971" s="17"/>
      <c r="AL971" s="19"/>
      <c r="AM971" s="19"/>
      <c r="AN971" s="19"/>
      <c r="AO971" s="19"/>
    </row>
    <row r="972" spans="16:41" x14ac:dyDescent="0.2">
      <c r="P972" s="17"/>
      <c r="Q972" s="17"/>
      <c r="R972" s="17"/>
      <c r="S972" s="17"/>
      <c r="T972" s="17"/>
      <c r="U972" s="17"/>
      <c r="V972" s="17"/>
      <c r="W972" s="17"/>
      <c r="X972" s="17"/>
      <c r="Y972" s="17"/>
      <c r="Z972" s="17"/>
      <c r="AA972" s="17"/>
      <c r="AB972" s="17"/>
      <c r="AC972" s="17"/>
      <c r="AD972" s="17"/>
      <c r="AE972" s="17"/>
      <c r="AF972" s="17"/>
      <c r="AG972" s="17"/>
      <c r="AH972" s="17"/>
      <c r="AI972" s="17"/>
      <c r="AJ972" s="17"/>
      <c r="AK972" s="17"/>
      <c r="AL972" s="19"/>
      <c r="AM972" s="19"/>
      <c r="AN972" s="19"/>
      <c r="AO972" s="19"/>
    </row>
    <row r="973" spans="16:41" x14ac:dyDescent="0.2">
      <c r="P973" s="17"/>
      <c r="Q973" s="17"/>
      <c r="R973" s="17"/>
      <c r="S973" s="17"/>
      <c r="T973" s="17"/>
      <c r="U973" s="17"/>
      <c r="V973" s="17"/>
      <c r="W973" s="17"/>
      <c r="X973" s="17"/>
      <c r="Y973" s="17"/>
      <c r="Z973" s="17"/>
      <c r="AA973" s="17"/>
      <c r="AB973" s="17"/>
      <c r="AC973" s="17"/>
      <c r="AD973" s="17"/>
      <c r="AE973" s="17"/>
      <c r="AF973" s="17"/>
      <c r="AG973" s="17"/>
      <c r="AH973" s="17"/>
      <c r="AI973" s="17"/>
      <c r="AJ973" s="17"/>
      <c r="AK973" s="17"/>
      <c r="AL973" s="19"/>
      <c r="AM973" s="19"/>
      <c r="AN973" s="19"/>
      <c r="AO973" s="19"/>
    </row>
    <row r="974" spans="16:41" x14ac:dyDescent="0.2">
      <c r="P974" s="17"/>
      <c r="Q974" s="17"/>
      <c r="R974" s="17"/>
      <c r="S974" s="17"/>
      <c r="T974" s="17"/>
      <c r="U974" s="17"/>
      <c r="V974" s="17"/>
      <c r="W974" s="17"/>
      <c r="X974" s="17"/>
      <c r="Y974" s="17"/>
      <c r="Z974" s="17"/>
      <c r="AA974" s="17"/>
      <c r="AB974" s="17"/>
      <c r="AC974" s="17"/>
      <c r="AD974" s="17"/>
      <c r="AE974" s="17"/>
      <c r="AF974" s="17"/>
      <c r="AG974" s="17"/>
      <c r="AH974" s="17"/>
      <c r="AI974" s="17"/>
      <c r="AJ974" s="17"/>
      <c r="AK974" s="17"/>
      <c r="AL974" s="19"/>
      <c r="AM974" s="19"/>
      <c r="AN974" s="19"/>
      <c r="AO974" s="19"/>
    </row>
    <row r="975" spans="16:41" x14ac:dyDescent="0.2">
      <c r="P975" s="17"/>
      <c r="Q975" s="17"/>
      <c r="R975" s="17"/>
      <c r="S975" s="17"/>
      <c r="T975" s="17"/>
      <c r="U975" s="17"/>
      <c r="V975" s="17"/>
      <c r="W975" s="17"/>
      <c r="X975" s="17"/>
      <c r="Y975" s="17"/>
      <c r="Z975" s="17"/>
      <c r="AA975" s="17"/>
      <c r="AB975" s="17"/>
      <c r="AC975" s="17"/>
      <c r="AD975" s="17"/>
      <c r="AE975" s="17"/>
      <c r="AF975" s="17"/>
      <c r="AG975" s="17"/>
      <c r="AH975" s="17"/>
      <c r="AI975" s="17"/>
      <c r="AJ975" s="17"/>
      <c r="AK975" s="17"/>
      <c r="AL975" s="19"/>
      <c r="AM975" s="19"/>
      <c r="AN975" s="19"/>
      <c r="AO975" s="19"/>
    </row>
    <row r="976" spans="16:41" x14ac:dyDescent="0.2">
      <c r="P976" s="17"/>
      <c r="Q976" s="17"/>
      <c r="R976" s="17"/>
      <c r="S976" s="17"/>
      <c r="T976" s="17"/>
      <c r="U976" s="17"/>
      <c r="V976" s="17"/>
      <c r="W976" s="17"/>
      <c r="X976" s="17"/>
      <c r="Y976" s="17"/>
      <c r="Z976" s="17"/>
      <c r="AA976" s="17"/>
      <c r="AB976" s="17"/>
      <c r="AC976" s="17"/>
      <c r="AD976" s="17"/>
      <c r="AE976" s="17"/>
      <c r="AF976" s="17"/>
      <c r="AG976" s="17"/>
      <c r="AH976" s="17"/>
      <c r="AI976" s="17"/>
      <c r="AJ976" s="17"/>
      <c r="AK976" s="17"/>
      <c r="AL976" s="19"/>
      <c r="AM976" s="19"/>
      <c r="AN976" s="19"/>
      <c r="AO976" s="19"/>
    </row>
    <row r="977" spans="16:41" x14ac:dyDescent="0.2">
      <c r="P977" s="17"/>
      <c r="Q977" s="17"/>
      <c r="R977" s="17"/>
      <c r="S977" s="17"/>
      <c r="T977" s="17"/>
      <c r="U977" s="17"/>
      <c r="V977" s="17"/>
      <c r="W977" s="17"/>
      <c r="X977" s="17"/>
      <c r="Y977" s="17"/>
      <c r="Z977" s="17"/>
      <c r="AA977" s="17"/>
      <c r="AB977" s="17"/>
      <c r="AC977" s="17"/>
      <c r="AD977" s="17"/>
      <c r="AE977" s="17"/>
      <c r="AF977" s="17"/>
      <c r="AG977" s="17"/>
      <c r="AH977" s="17"/>
      <c r="AI977" s="17"/>
      <c r="AJ977" s="17"/>
      <c r="AK977" s="17"/>
      <c r="AL977" s="19"/>
      <c r="AM977" s="19"/>
      <c r="AN977" s="19"/>
      <c r="AO977" s="19"/>
    </row>
    <row r="978" spans="16:41" x14ac:dyDescent="0.2">
      <c r="P978" s="17"/>
      <c r="Q978" s="17"/>
      <c r="R978" s="17"/>
      <c r="S978" s="17"/>
      <c r="T978" s="17"/>
      <c r="U978" s="17"/>
      <c r="V978" s="17"/>
      <c r="W978" s="17"/>
      <c r="X978" s="17"/>
      <c r="Y978" s="17"/>
      <c r="Z978" s="17"/>
      <c r="AA978" s="17"/>
      <c r="AB978" s="17"/>
      <c r="AC978" s="17"/>
      <c r="AD978" s="17"/>
      <c r="AE978" s="17"/>
      <c r="AF978" s="17"/>
      <c r="AG978" s="17"/>
      <c r="AH978" s="17"/>
      <c r="AI978" s="17"/>
      <c r="AJ978" s="17"/>
      <c r="AK978" s="17"/>
      <c r="AL978" s="19"/>
      <c r="AM978" s="19"/>
      <c r="AN978" s="19"/>
      <c r="AO978" s="19"/>
    </row>
    <row r="979" spans="16:41" x14ac:dyDescent="0.2">
      <c r="P979" s="17"/>
      <c r="Q979" s="17"/>
      <c r="R979" s="17"/>
      <c r="S979" s="17"/>
      <c r="T979" s="17"/>
      <c r="U979" s="17"/>
      <c r="V979" s="17"/>
      <c r="W979" s="17"/>
      <c r="X979" s="17"/>
      <c r="Y979" s="17"/>
      <c r="Z979" s="17"/>
      <c r="AA979" s="17"/>
      <c r="AB979" s="17"/>
      <c r="AC979" s="17"/>
      <c r="AD979" s="17"/>
      <c r="AE979" s="17"/>
      <c r="AF979" s="17"/>
      <c r="AG979" s="17"/>
      <c r="AH979" s="17"/>
      <c r="AI979" s="17"/>
      <c r="AJ979" s="17"/>
      <c r="AK979" s="17"/>
      <c r="AL979" s="19"/>
      <c r="AM979" s="19"/>
      <c r="AN979" s="19"/>
      <c r="AO979" s="19"/>
    </row>
    <row r="980" spans="16:41" x14ac:dyDescent="0.2">
      <c r="P980" s="17"/>
      <c r="Q980" s="17"/>
      <c r="R980" s="17"/>
      <c r="S980" s="17"/>
      <c r="T980" s="17"/>
      <c r="U980" s="17"/>
      <c r="V980" s="17"/>
      <c r="W980" s="17"/>
      <c r="X980" s="17"/>
      <c r="Y980" s="17"/>
      <c r="Z980" s="17"/>
      <c r="AA980" s="17"/>
      <c r="AB980" s="17"/>
      <c r="AC980" s="17"/>
      <c r="AD980" s="17"/>
      <c r="AE980" s="17"/>
      <c r="AF980" s="17"/>
      <c r="AG980" s="17"/>
      <c r="AH980" s="17"/>
      <c r="AI980" s="17"/>
      <c r="AJ980" s="17"/>
      <c r="AK980" s="17"/>
      <c r="AL980" s="19"/>
      <c r="AM980" s="19"/>
      <c r="AN980" s="19"/>
      <c r="AO980" s="19"/>
    </row>
    <row r="981" spans="16:41" x14ac:dyDescent="0.2">
      <c r="P981" s="17"/>
      <c r="Q981" s="17"/>
      <c r="R981" s="17"/>
      <c r="S981" s="17"/>
      <c r="T981" s="17"/>
      <c r="U981" s="17"/>
      <c r="V981" s="17"/>
      <c r="W981" s="17"/>
      <c r="X981" s="17"/>
      <c r="Y981" s="17"/>
      <c r="Z981" s="17"/>
      <c r="AA981" s="17"/>
      <c r="AB981" s="17"/>
      <c r="AC981" s="17"/>
      <c r="AD981" s="17"/>
      <c r="AE981" s="17"/>
      <c r="AF981" s="17"/>
      <c r="AG981" s="17"/>
      <c r="AH981" s="17"/>
      <c r="AI981" s="17"/>
      <c r="AJ981" s="17"/>
      <c r="AK981" s="17"/>
      <c r="AL981" s="19"/>
      <c r="AM981" s="19"/>
      <c r="AN981" s="19"/>
      <c r="AO981" s="19"/>
    </row>
    <row r="982" spans="16:41" x14ac:dyDescent="0.2">
      <c r="P982" s="17"/>
      <c r="Q982" s="17"/>
      <c r="R982" s="17"/>
      <c r="S982" s="17"/>
      <c r="T982" s="17"/>
      <c r="U982" s="17"/>
      <c r="V982" s="17"/>
      <c r="W982" s="17"/>
      <c r="X982" s="17"/>
      <c r="Y982" s="17"/>
      <c r="Z982" s="17"/>
      <c r="AA982" s="17"/>
      <c r="AB982" s="17"/>
      <c r="AC982" s="17"/>
      <c r="AD982" s="17"/>
      <c r="AE982" s="17"/>
      <c r="AF982" s="17"/>
      <c r="AG982" s="17"/>
      <c r="AH982" s="17"/>
      <c r="AI982" s="17"/>
      <c r="AJ982" s="17"/>
      <c r="AK982" s="17"/>
      <c r="AL982" s="19"/>
      <c r="AM982" s="19"/>
      <c r="AN982" s="19"/>
      <c r="AO982" s="19"/>
    </row>
    <row r="983" spans="16:41" x14ac:dyDescent="0.2">
      <c r="P983" s="17"/>
      <c r="Q983" s="17"/>
      <c r="R983" s="17"/>
      <c r="S983" s="17"/>
      <c r="T983" s="17"/>
      <c r="U983" s="17"/>
      <c r="V983" s="17"/>
      <c r="W983" s="17"/>
      <c r="X983" s="17"/>
      <c r="Y983" s="17"/>
      <c r="Z983" s="17"/>
      <c r="AA983" s="17"/>
      <c r="AB983" s="17"/>
      <c r="AC983" s="17"/>
      <c r="AD983" s="17"/>
      <c r="AE983" s="17"/>
      <c r="AF983" s="17"/>
      <c r="AG983" s="17"/>
      <c r="AH983" s="17"/>
      <c r="AI983" s="17"/>
      <c r="AJ983" s="17"/>
      <c r="AK983" s="17"/>
      <c r="AL983" s="19"/>
      <c r="AM983" s="19"/>
      <c r="AN983" s="19"/>
      <c r="AO983" s="19"/>
    </row>
    <row r="984" spans="16:41" x14ac:dyDescent="0.2">
      <c r="P984" s="17"/>
      <c r="Q984" s="17"/>
      <c r="R984" s="17"/>
      <c r="S984" s="17"/>
      <c r="T984" s="17"/>
      <c r="U984" s="17"/>
      <c r="V984" s="17"/>
      <c r="W984" s="17"/>
      <c r="X984" s="17"/>
      <c r="Y984" s="17"/>
      <c r="Z984" s="17"/>
      <c r="AA984" s="17"/>
      <c r="AB984" s="17"/>
      <c r="AC984" s="17"/>
      <c r="AD984" s="17"/>
      <c r="AE984" s="17"/>
      <c r="AF984" s="17"/>
      <c r="AG984" s="17"/>
      <c r="AH984" s="17"/>
      <c r="AI984" s="17"/>
      <c r="AJ984" s="17"/>
      <c r="AK984" s="17"/>
      <c r="AL984" s="19"/>
      <c r="AM984" s="19"/>
      <c r="AN984" s="19"/>
      <c r="AO984" s="19"/>
    </row>
    <row r="985" spans="16:41" x14ac:dyDescent="0.2">
      <c r="P985" s="17"/>
      <c r="Q985" s="17"/>
      <c r="R985" s="17"/>
      <c r="S985" s="17"/>
      <c r="T985" s="17"/>
      <c r="U985" s="17"/>
      <c r="V985" s="17"/>
      <c r="W985" s="17"/>
      <c r="X985" s="17"/>
      <c r="Y985" s="17"/>
      <c r="Z985" s="17"/>
      <c r="AA985" s="17"/>
      <c r="AB985" s="17"/>
      <c r="AC985" s="17"/>
      <c r="AD985" s="17"/>
      <c r="AE985" s="17"/>
      <c r="AF985" s="17"/>
      <c r="AG985" s="17"/>
      <c r="AH985" s="17"/>
      <c r="AI985" s="17"/>
      <c r="AJ985" s="17"/>
      <c r="AK985" s="17"/>
      <c r="AL985" s="19"/>
      <c r="AM985" s="19"/>
      <c r="AN985" s="19"/>
      <c r="AO985" s="19"/>
    </row>
    <row r="986" spans="16:41" x14ac:dyDescent="0.2">
      <c r="P986" s="17"/>
      <c r="Q986" s="17"/>
      <c r="R986" s="17"/>
      <c r="S986" s="17"/>
      <c r="T986" s="17"/>
      <c r="U986" s="17"/>
      <c r="V986" s="17"/>
      <c r="W986" s="17"/>
      <c r="X986" s="17"/>
      <c r="Y986" s="17"/>
      <c r="Z986" s="17"/>
      <c r="AA986" s="17"/>
      <c r="AB986" s="17"/>
      <c r="AC986" s="17"/>
      <c r="AD986" s="17"/>
      <c r="AE986" s="17"/>
      <c r="AF986" s="17"/>
      <c r="AG986" s="17"/>
      <c r="AH986" s="17"/>
      <c r="AI986" s="17"/>
      <c r="AJ986" s="17"/>
      <c r="AK986" s="17"/>
      <c r="AL986" s="19"/>
      <c r="AM986" s="19"/>
      <c r="AN986" s="19"/>
      <c r="AO986" s="19"/>
    </row>
    <row r="987" spans="16:41" x14ac:dyDescent="0.2">
      <c r="P987" s="17"/>
      <c r="Q987" s="17"/>
      <c r="R987" s="17"/>
      <c r="S987" s="17"/>
      <c r="T987" s="17"/>
      <c r="U987" s="17"/>
      <c r="V987" s="17"/>
      <c r="W987" s="17"/>
      <c r="X987" s="17"/>
      <c r="Y987" s="17"/>
      <c r="Z987" s="17"/>
      <c r="AA987" s="17"/>
      <c r="AB987" s="17"/>
      <c r="AC987" s="17"/>
      <c r="AD987" s="17"/>
      <c r="AE987" s="17"/>
      <c r="AF987" s="17"/>
      <c r="AG987" s="17"/>
      <c r="AH987" s="17"/>
      <c r="AI987" s="17"/>
      <c r="AJ987" s="17"/>
      <c r="AK987" s="17"/>
      <c r="AL987" s="19"/>
      <c r="AM987" s="19"/>
      <c r="AN987" s="19"/>
      <c r="AO987" s="19"/>
    </row>
    <row r="988" spans="16:41" x14ac:dyDescent="0.2">
      <c r="P988" s="17"/>
      <c r="Q988" s="17"/>
      <c r="R988" s="17"/>
      <c r="S988" s="17"/>
      <c r="T988" s="17"/>
      <c r="U988" s="17"/>
      <c r="V988" s="17"/>
      <c r="W988" s="17"/>
      <c r="X988" s="17"/>
      <c r="Y988" s="17"/>
      <c r="Z988" s="17"/>
      <c r="AA988" s="17"/>
      <c r="AB988" s="17"/>
      <c r="AC988" s="17"/>
      <c r="AD988" s="17"/>
      <c r="AE988" s="17"/>
      <c r="AF988" s="17"/>
      <c r="AG988" s="17"/>
      <c r="AH988" s="17"/>
      <c r="AI988" s="17"/>
      <c r="AJ988" s="17"/>
      <c r="AK988" s="17"/>
      <c r="AL988" s="19"/>
      <c r="AM988" s="19"/>
      <c r="AN988" s="19"/>
      <c r="AO988" s="19"/>
    </row>
    <row r="989" spans="16:41" x14ac:dyDescent="0.2">
      <c r="P989" s="17"/>
      <c r="Q989" s="17"/>
      <c r="R989" s="17"/>
      <c r="S989" s="17"/>
      <c r="T989" s="17"/>
      <c r="U989" s="17"/>
      <c r="V989" s="17"/>
      <c r="W989" s="17"/>
      <c r="X989" s="17"/>
      <c r="Y989" s="17"/>
      <c r="Z989" s="17"/>
      <c r="AA989" s="17"/>
      <c r="AB989" s="17"/>
      <c r="AC989" s="17"/>
      <c r="AD989" s="17"/>
      <c r="AE989" s="17"/>
      <c r="AF989" s="17"/>
      <c r="AG989" s="17"/>
      <c r="AH989" s="17"/>
      <c r="AI989" s="17"/>
      <c r="AJ989" s="17"/>
      <c r="AK989" s="17"/>
      <c r="AL989" s="19"/>
      <c r="AM989" s="19"/>
      <c r="AN989" s="19"/>
      <c r="AO989" s="19"/>
    </row>
    <row r="990" spans="16:41" x14ac:dyDescent="0.2">
      <c r="P990" s="17"/>
      <c r="Q990" s="17"/>
      <c r="R990" s="17"/>
      <c r="S990" s="17"/>
      <c r="T990" s="17"/>
      <c r="U990" s="17"/>
      <c r="V990" s="17"/>
      <c r="W990" s="17"/>
      <c r="X990" s="17"/>
      <c r="Y990" s="17"/>
      <c r="Z990" s="17"/>
      <c r="AA990" s="17"/>
      <c r="AB990" s="17"/>
      <c r="AC990" s="17"/>
      <c r="AD990" s="17"/>
      <c r="AE990" s="17"/>
      <c r="AF990" s="17"/>
      <c r="AG990" s="17"/>
      <c r="AH990" s="17"/>
      <c r="AI990" s="17"/>
      <c r="AJ990" s="17"/>
      <c r="AK990" s="17"/>
      <c r="AL990" s="19"/>
      <c r="AM990" s="19"/>
      <c r="AN990" s="19"/>
      <c r="AO990" s="19"/>
    </row>
    <row r="991" spans="16:41" x14ac:dyDescent="0.2">
      <c r="P991" s="17"/>
      <c r="Q991" s="17"/>
      <c r="R991" s="17"/>
      <c r="S991" s="17"/>
      <c r="T991" s="17"/>
      <c r="U991" s="17"/>
      <c r="V991" s="17"/>
      <c r="W991" s="17"/>
      <c r="X991" s="17"/>
      <c r="Y991" s="17"/>
      <c r="Z991" s="17"/>
      <c r="AA991" s="17"/>
      <c r="AB991" s="17"/>
      <c r="AC991" s="17"/>
      <c r="AD991" s="17"/>
      <c r="AE991" s="17"/>
      <c r="AF991" s="17"/>
      <c r="AG991" s="17"/>
      <c r="AH991" s="17"/>
      <c r="AI991" s="17"/>
      <c r="AJ991" s="17"/>
      <c r="AK991" s="17"/>
      <c r="AL991" s="19"/>
      <c r="AM991" s="19"/>
      <c r="AN991" s="19"/>
      <c r="AO991" s="19"/>
    </row>
    <row r="992" spans="16:41" x14ac:dyDescent="0.2">
      <c r="P992" s="17"/>
      <c r="Q992" s="17"/>
      <c r="R992" s="17"/>
      <c r="S992" s="17"/>
      <c r="T992" s="17"/>
      <c r="U992" s="17"/>
      <c r="V992" s="17"/>
      <c r="W992" s="17"/>
      <c r="X992" s="17"/>
      <c r="Y992" s="17"/>
      <c r="Z992" s="17"/>
      <c r="AA992" s="17"/>
      <c r="AB992" s="17"/>
      <c r="AC992" s="17"/>
      <c r="AD992" s="17"/>
      <c r="AE992" s="17"/>
      <c r="AF992" s="17"/>
      <c r="AG992" s="17"/>
      <c r="AH992" s="17"/>
      <c r="AI992" s="17"/>
      <c r="AJ992" s="17"/>
      <c r="AK992" s="17"/>
      <c r="AL992" s="19"/>
      <c r="AM992" s="19"/>
      <c r="AN992" s="19"/>
      <c r="AO992" s="19"/>
    </row>
    <row r="993" spans="16:41" x14ac:dyDescent="0.2">
      <c r="P993" s="17"/>
      <c r="Q993" s="17"/>
      <c r="R993" s="17"/>
      <c r="S993" s="17"/>
      <c r="T993" s="17"/>
      <c r="U993" s="17"/>
      <c r="V993" s="17"/>
      <c r="W993" s="17"/>
      <c r="X993" s="17"/>
      <c r="Y993" s="17"/>
      <c r="Z993" s="17"/>
      <c r="AA993" s="17"/>
      <c r="AB993" s="17"/>
      <c r="AC993" s="17"/>
      <c r="AD993" s="17"/>
      <c r="AE993" s="17"/>
      <c r="AF993" s="17"/>
      <c r="AG993" s="17"/>
      <c r="AH993" s="17"/>
      <c r="AI993" s="17"/>
      <c r="AJ993" s="17"/>
      <c r="AK993" s="17"/>
      <c r="AL993" s="19"/>
      <c r="AM993" s="19"/>
      <c r="AN993" s="19"/>
      <c r="AO993" s="19"/>
    </row>
    <row r="994" spans="16:41" x14ac:dyDescent="0.2">
      <c r="P994" s="17"/>
      <c r="Q994" s="17"/>
      <c r="R994" s="17"/>
      <c r="S994" s="17"/>
      <c r="T994" s="17"/>
      <c r="U994" s="17"/>
      <c r="V994" s="17"/>
      <c r="W994" s="17"/>
      <c r="X994" s="17"/>
      <c r="Y994" s="17"/>
      <c r="Z994" s="17"/>
      <c r="AA994" s="17"/>
      <c r="AB994" s="17"/>
      <c r="AC994" s="17"/>
      <c r="AD994" s="17"/>
      <c r="AE994" s="17"/>
      <c r="AF994" s="17"/>
      <c r="AG994" s="17"/>
      <c r="AH994" s="17"/>
      <c r="AI994" s="17"/>
      <c r="AJ994" s="17"/>
      <c r="AK994" s="17"/>
      <c r="AL994" s="19"/>
      <c r="AM994" s="19"/>
      <c r="AN994" s="19"/>
      <c r="AO994" s="19"/>
    </row>
    <row r="995" spans="16:41" x14ac:dyDescent="0.2">
      <c r="P995" s="17"/>
      <c r="Q995" s="17"/>
      <c r="R995" s="17"/>
      <c r="S995" s="17"/>
      <c r="T995" s="17"/>
      <c r="U995" s="17"/>
      <c r="V995" s="17"/>
      <c r="W995" s="17"/>
      <c r="X995" s="17"/>
      <c r="Y995" s="17"/>
      <c r="Z995" s="17"/>
      <c r="AA995" s="17"/>
      <c r="AB995" s="17"/>
      <c r="AC995" s="17"/>
      <c r="AD995" s="17"/>
      <c r="AE995" s="17"/>
      <c r="AF995" s="17"/>
      <c r="AG995" s="17"/>
      <c r="AH995" s="17"/>
      <c r="AI995" s="17"/>
      <c r="AJ995" s="17"/>
      <c r="AK995" s="17"/>
      <c r="AL995" s="19"/>
      <c r="AM995" s="19"/>
      <c r="AN995" s="19"/>
      <c r="AO995" s="19"/>
    </row>
    <row r="996" spans="16:41" x14ac:dyDescent="0.2">
      <c r="P996" s="17"/>
      <c r="Q996" s="17"/>
      <c r="R996" s="17"/>
      <c r="S996" s="17"/>
      <c r="T996" s="17"/>
      <c r="U996" s="17"/>
      <c r="V996" s="17"/>
      <c r="W996" s="17"/>
      <c r="X996" s="17"/>
      <c r="Y996" s="17"/>
      <c r="Z996" s="17"/>
      <c r="AA996" s="17"/>
      <c r="AB996" s="17"/>
      <c r="AC996" s="17"/>
      <c r="AD996" s="17"/>
      <c r="AE996" s="17"/>
      <c r="AF996" s="17"/>
      <c r="AG996" s="17"/>
      <c r="AH996" s="17"/>
      <c r="AI996" s="17"/>
      <c r="AJ996" s="17"/>
      <c r="AK996" s="17"/>
      <c r="AL996" s="19"/>
      <c r="AM996" s="19"/>
      <c r="AN996" s="19"/>
      <c r="AO996" s="19"/>
    </row>
    <row r="997" spans="16:41" x14ac:dyDescent="0.2">
      <c r="P997" s="17"/>
      <c r="Q997" s="17"/>
      <c r="R997" s="17"/>
      <c r="S997" s="17"/>
      <c r="T997" s="17"/>
      <c r="U997" s="17"/>
      <c r="V997" s="17"/>
      <c r="W997" s="17"/>
      <c r="X997" s="17"/>
      <c r="Y997" s="17"/>
      <c r="Z997" s="17"/>
      <c r="AA997" s="17"/>
      <c r="AB997" s="17"/>
      <c r="AC997" s="17"/>
      <c r="AD997" s="17"/>
      <c r="AE997" s="17"/>
      <c r="AF997" s="17"/>
      <c r="AG997" s="17"/>
      <c r="AH997" s="17"/>
      <c r="AI997" s="17"/>
      <c r="AJ997" s="17"/>
      <c r="AK997" s="17"/>
      <c r="AL997" s="19"/>
      <c r="AM997" s="19"/>
      <c r="AN997" s="19"/>
      <c r="AO997" s="19"/>
    </row>
    <row r="998" spans="16:41" x14ac:dyDescent="0.2">
      <c r="P998" s="17"/>
      <c r="Q998" s="17"/>
      <c r="R998" s="17"/>
      <c r="S998" s="17"/>
      <c r="T998" s="17"/>
      <c r="U998" s="17"/>
      <c r="V998" s="17"/>
      <c r="W998" s="17"/>
      <c r="X998" s="17"/>
      <c r="Y998" s="17"/>
      <c r="Z998" s="17"/>
      <c r="AA998" s="17"/>
      <c r="AB998" s="17"/>
      <c r="AC998" s="17"/>
      <c r="AD998" s="17"/>
      <c r="AE998" s="17"/>
      <c r="AF998" s="17"/>
      <c r="AG998" s="17"/>
      <c r="AH998" s="17"/>
      <c r="AI998" s="17"/>
      <c r="AJ998" s="17"/>
      <c r="AK998" s="17"/>
      <c r="AL998" s="19"/>
      <c r="AM998" s="19"/>
      <c r="AN998" s="19"/>
      <c r="AO998" s="19"/>
    </row>
    <row r="999" spans="16:41" x14ac:dyDescent="0.2">
      <c r="P999" s="17"/>
      <c r="Q999" s="17"/>
      <c r="R999" s="17"/>
      <c r="S999" s="17"/>
      <c r="T999" s="17"/>
      <c r="U999" s="17"/>
      <c r="V999" s="17"/>
      <c r="W999" s="17"/>
      <c r="X999" s="17"/>
      <c r="Y999" s="17"/>
      <c r="Z999" s="17"/>
      <c r="AA999" s="17"/>
      <c r="AB999" s="17"/>
      <c r="AC999" s="17"/>
      <c r="AD999" s="17"/>
      <c r="AE999" s="17"/>
      <c r="AF999" s="17"/>
      <c r="AG999" s="17"/>
      <c r="AH999" s="17"/>
      <c r="AI999" s="17"/>
      <c r="AJ999" s="17"/>
      <c r="AK999" s="17"/>
      <c r="AL999" s="19"/>
      <c r="AM999" s="19"/>
      <c r="AN999" s="19"/>
      <c r="AO999" s="19"/>
    </row>
    <row r="1000" spans="16:41" x14ac:dyDescent="0.2">
      <c r="P1000" s="17"/>
      <c r="Q1000" s="17"/>
      <c r="R1000" s="17"/>
      <c r="S1000" s="17"/>
      <c r="T1000" s="17"/>
      <c r="U1000" s="17"/>
      <c r="V1000" s="17"/>
      <c r="W1000" s="17"/>
      <c r="X1000" s="17"/>
      <c r="Y1000" s="17"/>
      <c r="Z1000" s="17"/>
      <c r="AA1000" s="17"/>
      <c r="AB1000" s="17"/>
      <c r="AC1000" s="17"/>
      <c r="AD1000" s="17"/>
      <c r="AE1000" s="17"/>
      <c r="AF1000" s="17"/>
      <c r="AG1000" s="17"/>
      <c r="AH1000" s="17"/>
      <c r="AI1000" s="17"/>
      <c r="AJ1000" s="17"/>
      <c r="AK1000" s="17"/>
      <c r="AL1000" s="19"/>
      <c r="AM1000" s="19"/>
      <c r="AN1000" s="19"/>
      <c r="AO1000" s="19"/>
    </row>
    <row r="1001" spans="16:41" x14ac:dyDescent="0.2">
      <c r="P1001" s="17"/>
      <c r="Q1001" s="17"/>
      <c r="R1001" s="17"/>
      <c r="S1001" s="17"/>
      <c r="T1001" s="17"/>
      <c r="U1001" s="17"/>
      <c r="V1001" s="17"/>
      <c r="W1001" s="17"/>
      <c r="X1001" s="17"/>
      <c r="Y1001" s="17"/>
      <c r="Z1001" s="17"/>
      <c r="AA1001" s="17"/>
      <c r="AB1001" s="17"/>
      <c r="AC1001" s="17"/>
      <c r="AD1001" s="17"/>
      <c r="AE1001" s="17"/>
      <c r="AF1001" s="17"/>
      <c r="AG1001" s="17"/>
      <c r="AH1001" s="17"/>
      <c r="AI1001" s="17"/>
      <c r="AJ1001" s="17"/>
      <c r="AK1001" s="17"/>
      <c r="AL1001" s="19"/>
      <c r="AM1001" s="19"/>
      <c r="AN1001" s="19"/>
      <c r="AO1001" s="19"/>
    </row>
    <row r="1002" spans="16:41" x14ac:dyDescent="0.2">
      <c r="P1002" s="17"/>
      <c r="Q1002" s="17"/>
      <c r="R1002" s="17"/>
      <c r="S1002" s="17"/>
      <c r="T1002" s="17"/>
      <c r="U1002" s="17"/>
      <c r="V1002" s="17"/>
      <c r="W1002" s="17"/>
      <c r="X1002" s="17"/>
      <c r="Y1002" s="17"/>
      <c r="Z1002" s="17"/>
      <c r="AA1002" s="17"/>
      <c r="AB1002" s="17"/>
      <c r="AC1002" s="17"/>
      <c r="AD1002" s="17"/>
      <c r="AE1002" s="17"/>
      <c r="AF1002" s="17"/>
      <c r="AG1002" s="17"/>
      <c r="AH1002" s="17"/>
      <c r="AI1002" s="17"/>
      <c r="AJ1002" s="17"/>
      <c r="AK1002" s="17"/>
      <c r="AL1002" s="19"/>
      <c r="AM1002" s="19"/>
      <c r="AN1002" s="19"/>
      <c r="AO1002" s="19"/>
    </row>
    <row r="1003" spans="16:41" x14ac:dyDescent="0.2">
      <c r="P1003" s="17"/>
      <c r="Q1003" s="17"/>
      <c r="R1003" s="17"/>
      <c r="S1003" s="17"/>
      <c r="T1003" s="17"/>
      <c r="U1003" s="17"/>
      <c r="V1003" s="17"/>
      <c r="W1003" s="17"/>
      <c r="X1003" s="17"/>
      <c r="Y1003" s="17"/>
      <c r="Z1003" s="17"/>
      <c r="AA1003" s="17"/>
      <c r="AB1003" s="17"/>
      <c r="AC1003" s="17"/>
      <c r="AD1003" s="17"/>
      <c r="AE1003" s="17"/>
      <c r="AF1003" s="17"/>
      <c r="AG1003" s="17"/>
      <c r="AH1003" s="17"/>
      <c r="AI1003" s="17"/>
      <c r="AJ1003" s="17"/>
      <c r="AK1003" s="17"/>
      <c r="AL1003" s="19"/>
      <c r="AM1003" s="19"/>
      <c r="AN1003" s="19"/>
      <c r="AO1003" s="19"/>
    </row>
    <row r="1004" spans="16:41" x14ac:dyDescent="0.2">
      <c r="P1004" s="17"/>
      <c r="Q1004" s="17"/>
      <c r="R1004" s="17"/>
      <c r="S1004" s="17"/>
      <c r="T1004" s="17"/>
      <c r="U1004" s="17"/>
      <c r="V1004" s="17"/>
      <c r="W1004" s="17"/>
      <c r="X1004" s="17"/>
      <c r="Y1004" s="17"/>
      <c r="Z1004" s="17"/>
      <c r="AA1004" s="17"/>
      <c r="AB1004" s="17"/>
      <c r="AC1004" s="17"/>
      <c r="AD1004" s="17"/>
      <c r="AE1004" s="17"/>
      <c r="AF1004" s="17"/>
      <c r="AG1004" s="17"/>
      <c r="AH1004" s="17"/>
      <c r="AI1004" s="17"/>
      <c r="AJ1004" s="17"/>
      <c r="AK1004" s="17"/>
      <c r="AL1004" s="19"/>
      <c r="AM1004" s="19"/>
      <c r="AN1004" s="19"/>
      <c r="AO1004" s="19"/>
    </row>
    <row r="1005" spans="16:41" x14ac:dyDescent="0.2">
      <c r="P1005" s="17"/>
      <c r="Q1005" s="17"/>
      <c r="R1005" s="17"/>
      <c r="S1005" s="17"/>
      <c r="T1005" s="17"/>
      <c r="U1005" s="17"/>
      <c r="V1005" s="17"/>
      <c r="W1005" s="17"/>
      <c r="X1005" s="17"/>
      <c r="Y1005" s="17"/>
      <c r="Z1005" s="17"/>
      <c r="AA1005" s="17"/>
      <c r="AB1005" s="17"/>
      <c r="AC1005" s="17"/>
      <c r="AD1005" s="17"/>
      <c r="AE1005" s="17"/>
      <c r="AF1005" s="17"/>
      <c r="AG1005" s="17"/>
      <c r="AH1005" s="17"/>
      <c r="AI1005" s="17"/>
      <c r="AJ1005" s="17"/>
      <c r="AK1005" s="17"/>
      <c r="AL1005" s="19"/>
      <c r="AM1005" s="19"/>
      <c r="AN1005" s="19"/>
      <c r="AO1005" s="19"/>
    </row>
    <row r="1006" spans="16:41" x14ac:dyDescent="0.2">
      <c r="P1006" s="17"/>
      <c r="Q1006" s="17"/>
      <c r="R1006" s="17"/>
      <c r="S1006" s="17"/>
      <c r="T1006" s="17"/>
      <c r="U1006" s="17"/>
      <c r="V1006" s="17"/>
      <c r="W1006" s="17"/>
      <c r="X1006" s="17"/>
      <c r="Y1006" s="17"/>
      <c r="Z1006" s="17"/>
      <c r="AA1006" s="17"/>
      <c r="AB1006" s="17"/>
      <c r="AC1006" s="17"/>
      <c r="AD1006" s="17"/>
      <c r="AE1006" s="17"/>
      <c r="AF1006" s="17"/>
      <c r="AG1006" s="17"/>
      <c r="AH1006" s="17"/>
      <c r="AI1006" s="17"/>
      <c r="AJ1006" s="17"/>
      <c r="AK1006" s="17"/>
      <c r="AL1006" s="19"/>
      <c r="AM1006" s="19"/>
      <c r="AN1006" s="19"/>
      <c r="AO1006" s="19"/>
    </row>
    <row r="1007" spans="16:41" x14ac:dyDescent="0.2">
      <c r="P1007" s="17"/>
      <c r="Q1007" s="17"/>
      <c r="R1007" s="17"/>
      <c r="S1007" s="17"/>
      <c r="T1007" s="17"/>
      <c r="U1007" s="17"/>
      <c r="V1007" s="17"/>
      <c r="W1007" s="17"/>
      <c r="X1007" s="17"/>
      <c r="Y1007" s="17"/>
      <c r="Z1007" s="17"/>
      <c r="AA1007" s="17"/>
      <c r="AB1007" s="17"/>
      <c r="AC1007" s="17"/>
      <c r="AD1007" s="17"/>
      <c r="AE1007" s="17"/>
      <c r="AF1007" s="17"/>
      <c r="AG1007" s="17"/>
      <c r="AH1007" s="17"/>
      <c r="AI1007" s="17"/>
      <c r="AJ1007" s="17"/>
      <c r="AK1007" s="17"/>
      <c r="AL1007" s="19"/>
      <c r="AM1007" s="19"/>
      <c r="AN1007" s="19"/>
      <c r="AO1007" s="19"/>
    </row>
    <row r="1008" spans="16:41" x14ac:dyDescent="0.2">
      <c r="P1008" s="17"/>
      <c r="Q1008" s="17"/>
      <c r="R1008" s="17"/>
      <c r="S1008" s="17"/>
      <c r="T1008" s="17"/>
      <c r="U1008" s="17"/>
      <c r="V1008" s="17"/>
      <c r="W1008" s="17"/>
      <c r="X1008" s="17"/>
      <c r="Y1008" s="17"/>
      <c r="Z1008" s="17"/>
      <c r="AA1008" s="17"/>
      <c r="AB1008" s="17"/>
      <c r="AC1008" s="17"/>
      <c r="AD1008" s="17"/>
      <c r="AE1008" s="17"/>
      <c r="AF1008" s="17"/>
      <c r="AG1008" s="17"/>
      <c r="AH1008" s="17"/>
      <c r="AI1008" s="17"/>
      <c r="AJ1008" s="17"/>
      <c r="AK1008" s="17"/>
      <c r="AL1008" s="19"/>
      <c r="AM1008" s="19"/>
      <c r="AN1008" s="19"/>
      <c r="AO1008" s="19"/>
    </row>
    <row r="1009" spans="16:41" x14ac:dyDescent="0.2">
      <c r="P1009" s="17"/>
      <c r="Q1009" s="17"/>
      <c r="R1009" s="17"/>
      <c r="S1009" s="17"/>
      <c r="T1009" s="17"/>
      <c r="U1009" s="17"/>
      <c r="V1009" s="17"/>
      <c r="W1009" s="17"/>
      <c r="X1009" s="17"/>
      <c r="Y1009" s="17"/>
      <c r="Z1009" s="17"/>
      <c r="AA1009" s="17"/>
      <c r="AB1009" s="17"/>
      <c r="AC1009" s="17"/>
      <c r="AD1009" s="17"/>
      <c r="AE1009" s="17"/>
      <c r="AF1009" s="17"/>
      <c r="AG1009" s="17"/>
      <c r="AH1009" s="17"/>
      <c r="AI1009" s="17"/>
      <c r="AJ1009" s="17"/>
      <c r="AK1009" s="17"/>
      <c r="AL1009" s="19"/>
      <c r="AM1009" s="19"/>
      <c r="AN1009" s="19"/>
      <c r="AO1009" s="19"/>
    </row>
    <row r="1010" spans="16:41" x14ac:dyDescent="0.2">
      <c r="P1010" s="17"/>
      <c r="Q1010" s="17"/>
      <c r="R1010" s="17"/>
      <c r="S1010" s="17"/>
      <c r="T1010" s="17"/>
      <c r="U1010" s="17"/>
      <c r="V1010" s="17"/>
      <c r="W1010" s="17"/>
      <c r="X1010" s="17"/>
      <c r="Y1010" s="17"/>
      <c r="Z1010" s="17"/>
      <c r="AA1010" s="17"/>
      <c r="AB1010" s="17"/>
      <c r="AC1010" s="17"/>
      <c r="AD1010" s="17"/>
      <c r="AE1010" s="17"/>
      <c r="AF1010" s="17"/>
      <c r="AG1010" s="17"/>
      <c r="AH1010" s="17"/>
      <c r="AI1010" s="17"/>
      <c r="AJ1010" s="17"/>
      <c r="AK1010" s="17"/>
      <c r="AL1010" s="19"/>
      <c r="AM1010" s="19"/>
      <c r="AN1010" s="19"/>
      <c r="AO1010" s="19"/>
    </row>
    <row r="1011" spans="16:41" x14ac:dyDescent="0.2">
      <c r="P1011" s="17"/>
      <c r="Q1011" s="17"/>
      <c r="R1011" s="17"/>
      <c r="S1011" s="17"/>
      <c r="T1011" s="17"/>
      <c r="U1011" s="17"/>
      <c r="V1011" s="17"/>
      <c r="W1011" s="17"/>
      <c r="X1011" s="17"/>
      <c r="Y1011" s="17"/>
      <c r="Z1011" s="17"/>
      <c r="AA1011" s="17"/>
      <c r="AB1011" s="17"/>
      <c r="AC1011" s="17"/>
      <c r="AD1011" s="17"/>
      <c r="AE1011" s="17"/>
      <c r="AF1011" s="17"/>
      <c r="AG1011" s="17"/>
      <c r="AH1011" s="17"/>
      <c r="AI1011" s="17"/>
      <c r="AJ1011" s="17"/>
      <c r="AK1011" s="17"/>
      <c r="AL1011" s="19"/>
      <c r="AM1011" s="19"/>
      <c r="AN1011" s="19"/>
      <c r="AO1011" s="19"/>
    </row>
    <row r="1012" spans="16:41" x14ac:dyDescent="0.2">
      <c r="P1012" s="17"/>
      <c r="Q1012" s="17"/>
      <c r="R1012" s="17"/>
      <c r="S1012" s="17"/>
      <c r="T1012" s="17"/>
      <c r="U1012" s="17"/>
      <c r="V1012" s="17"/>
      <c r="W1012" s="17"/>
      <c r="X1012" s="17"/>
      <c r="Y1012" s="17"/>
      <c r="Z1012" s="17"/>
      <c r="AA1012" s="17"/>
      <c r="AB1012" s="17"/>
      <c r="AC1012" s="17"/>
      <c r="AD1012" s="17"/>
      <c r="AE1012" s="17"/>
      <c r="AF1012" s="17"/>
      <c r="AG1012" s="17"/>
      <c r="AH1012" s="17"/>
      <c r="AI1012" s="17"/>
      <c r="AJ1012" s="17"/>
      <c r="AK1012" s="17"/>
      <c r="AL1012" s="19"/>
      <c r="AM1012" s="19"/>
      <c r="AN1012" s="19"/>
      <c r="AO1012" s="19"/>
    </row>
    <row r="1013" spans="16:41" x14ac:dyDescent="0.2">
      <c r="P1013" s="17"/>
      <c r="Q1013" s="17"/>
      <c r="R1013" s="17"/>
      <c r="S1013" s="17"/>
      <c r="T1013" s="17"/>
      <c r="U1013" s="17"/>
      <c r="V1013" s="17"/>
      <c r="W1013" s="17"/>
      <c r="X1013" s="17"/>
      <c r="Y1013" s="17"/>
      <c r="Z1013" s="17"/>
      <c r="AA1013" s="17"/>
      <c r="AB1013" s="17"/>
      <c r="AC1013" s="17"/>
      <c r="AD1013" s="17"/>
      <c r="AE1013" s="17"/>
      <c r="AF1013" s="17"/>
      <c r="AG1013" s="17"/>
      <c r="AH1013" s="17"/>
      <c r="AI1013" s="17"/>
      <c r="AJ1013" s="17"/>
      <c r="AK1013" s="17"/>
      <c r="AL1013" s="19"/>
      <c r="AM1013" s="19"/>
      <c r="AN1013" s="19"/>
      <c r="AO1013" s="19"/>
    </row>
    <row r="1014" spans="16:41" x14ac:dyDescent="0.2">
      <c r="P1014" s="17"/>
      <c r="Q1014" s="17"/>
      <c r="R1014" s="17"/>
      <c r="S1014" s="17"/>
      <c r="T1014" s="17"/>
      <c r="U1014" s="17"/>
      <c r="V1014" s="17"/>
      <c r="W1014" s="17"/>
      <c r="X1014" s="17"/>
      <c r="Y1014" s="17"/>
      <c r="Z1014" s="17"/>
      <c r="AA1014" s="17"/>
      <c r="AB1014" s="17"/>
      <c r="AC1014" s="17"/>
      <c r="AD1014" s="17"/>
      <c r="AE1014" s="17"/>
      <c r="AF1014" s="17"/>
      <c r="AG1014" s="17"/>
      <c r="AH1014" s="17"/>
      <c r="AI1014" s="17"/>
      <c r="AJ1014" s="17"/>
      <c r="AK1014" s="17"/>
      <c r="AL1014" s="19"/>
      <c r="AM1014" s="19"/>
      <c r="AN1014" s="19"/>
      <c r="AO1014" s="19"/>
    </row>
    <row r="1015" spans="16:41" x14ac:dyDescent="0.2">
      <c r="P1015" s="17"/>
      <c r="Q1015" s="17"/>
      <c r="R1015" s="17"/>
      <c r="S1015" s="17"/>
      <c r="T1015" s="17"/>
      <c r="U1015" s="17"/>
      <c r="V1015" s="17"/>
      <c r="W1015" s="17"/>
      <c r="X1015" s="17"/>
      <c r="Y1015" s="17"/>
      <c r="Z1015" s="17"/>
      <c r="AA1015" s="17"/>
      <c r="AB1015" s="17"/>
      <c r="AC1015" s="17"/>
      <c r="AD1015" s="17"/>
      <c r="AE1015" s="17"/>
      <c r="AF1015" s="17"/>
      <c r="AG1015" s="17"/>
      <c r="AH1015" s="17"/>
      <c r="AI1015" s="17"/>
      <c r="AJ1015" s="17"/>
      <c r="AK1015" s="17"/>
      <c r="AL1015" s="19"/>
      <c r="AM1015" s="19"/>
      <c r="AN1015" s="19"/>
      <c r="AO1015" s="19"/>
    </row>
    <row r="1016" spans="16:41" x14ac:dyDescent="0.2">
      <c r="P1016" s="17"/>
      <c r="Q1016" s="17"/>
      <c r="R1016" s="17"/>
      <c r="S1016" s="17"/>
      <c r="T1016" s="17"/>
      <c r="U1016" s="17"/>
      <c r="V1016" s="17"/>
      <c r="W1016" s="17"/>
      <c r="X1016" s="17"/>
      <c r="Y1016" s="17"/>
      <c r="Z1016" s="17"/>
      <c r="AA1016" s="17"/>
      <c r="AB1016" s="17"/>
      <c r="AC1016" s="17"/>
      <c r="AD1016" s="17"/>
      <c r="AE1016" s="17"/>
      <c r="AF1016" s="17"/>
      <c r="AG1016" s="17"/>
      <c r="AH1016" s="17"/>
      <c r="AI1016" s="17"/>
      <c r="AJ1016" s="17"/>
      <c r="AK1016" s="17"/>
      <c r="AL1016" s="19"/>
      <c r="AM1016" s="19"/>
      <c r="AN1016" s="19"/>
      <c r="AO1016" s="19"/>
    </row>
    <row r="1017" spans="16:41" x14ac:dyDescent="0.2">
      <c r="P1017" s="17"/>
      <c r="Q1017" s="17"/>
      <c r="R1017" s="17"/>
      <c r="S1017" s="17"/>
      <c r="T1017" s="17"/>
      <c r="U1017" s="17"/>
      <c r="V1017" s="17"/>
      <c r="W1017" s="17"/>
      <c r="X1017" s="17"/>
      <c r="Y1017" s="17"/>
      <c r="Z1017" s="17"/>
      <c r="AA1017" s="17"/>
      <c r="AB1017" s="17"/>
      <c r="AC1017" s="17"/>
      <c r="AD1017" s="17"/>
      <c r="AE1017" s="17"/>
      <c r="AF1017" s="17"/>
      <c r="AG1017" s="17"/>
      <c r="AH1017" s="17"/>
      <c r="AI1017" s="17"/>
      <c r="AJ1017" s="17"/>
      <c r="AK1017" s="17"/>
      <c r="AL1017" s="19"/>
      <c r="AM1017" s="19"/>
      <c r="AN1017" s="19"/>
      <c r="AO1017" s="19"/>
    </row>
    <row r="1018" spans="16:41" x14ac:dyDescent="0.2">
      <c r="P1018" s="17"/>
      <c r="Q1018" s="17"/>
      <c r="R1018" s="17"/>
      <c r="S1018" s="17"/>
      <c r="T1018" s="17"/>
      <c r="U1018" s="17"/>
      <c r="V1018" s="17"/>
      <c r="W1018" s="17"/>
      <c r="X1018" s="17"/>
      <c r="Y1018" s="17"/>
      <c r="Z1018" s="17"/>
      <c r="AA1018" s="17"/>
      <c r="AB1018" s="17"/>
      <c r="AC1018" s="17"/>
      <c r="AD1018" s="17"/>
      <c r="AE1018" s="17"/>
      <c r="AF1018" s="17"/>
      <c r="AG1018" s="17"/>
      <c r="AH1018" s="17"/>
      <c r="AI1018" s="17"/>
      <c r="AJ1018" s="17"/>
      <c r="AK1018" s="17"/>
      <c r="AL1018" s="19"/>
      <c r="AM1018" s="19"/>
      <c r="AN1018" s="19"/>
      <c r="AO1018" s="19"/>
    </row>
    <row r="1019" spans="16:41" x14ac:dyDescent="0.2">
      <c r="P1019" s="17"/>
      <c r="Q1019" s="17"/>
      <c r="R1019" s="17"/>
      <c r="S1019" s="17"/>
      <c r="T1019" s="17"/>
      <c r="U1019" s="17"/>
      <c r="V1019" s="17"/>
      <c r="W1019" s="17"/>
      <c r="X1019" s="17"/>
      <c r="Y1019" s="17"/>
      <c r="Z1019" s="17"/>
      <c r="AA1019" s="17"/>
      <c r="AB1019" s="17"/>
      <c r="AC1019" s="17"/>
      <c r="AD1019" s="17"/>
      <c r="AE1019" s="17"/>
      <c r="AF1019" s="17"/>
      <c r="AG1019" s="17"/>
      <c r="AH1019" s="17"/>
      <c r="AI1019" s="17"/>
      <c r="AJ1019" s="17"/>
      <c r="AK1019" s="17"/>
      <c r="AL1019" s="19"/>
      <c r="AM1019" s="19"/>
      <c r="AN1019" s="19"/>
      <c r="AO1019" s="19"/>
    </row>
    <row r="1020" spans="16:41" x14ac:dyDescent="0.2">
      <c r="P1020" s="17"/>
      <c r="Q1020" s="17"/>
      <c r="R1020" s="17"/>
      <c r="S1020" s="17"/>
      <c r="T1020" s="17"/>
      <c r="U1020" s="17"/>
      <c r="V1020" s="17"/>
      <c r="W1020" s="17"/>
      <c r="X1020" s="17"/>
      <c r="Y1020" s="17"/>
      <c r="Z1020" s="17"/>
      <c r="AA1020" s="17"/>
      <c r="AB1020" s="17"/>
      <c r="AC1020" s="17"/>
      <c r="AD1020" s="17"/>
      <c r="AE1020" s="17"/>
      <c r="AF1020" s="17"/>
      <c r="AG1020" s="17"/>
      <c r="AH1020" s="17"/>
      <c r="AI1020" s="17"/>
      <c r="AJ1020" s="17"/>
      <c r="AK1020" s="17"/>
      <c r="AL1020" s="19"/>
      <c r="AM1020" s="19"/>
      <c r="AN1020" s="19"/>
      <c r="AO1020" s="19"/>
    </row>
    <row r="1021" spans="16:41" x14ac:dyDescent="0.2">
      <c r="P1021" s="17"/>
      <c r="Q1021" s="17"/>
      <c r="R1021" s="17"/>
      <c r="S1021" s="17"/>
      <c r="T1021" s="17"/>
      <c r="U1021" s="17"/>
      <c r="V1021" s="17"/>
      <c r="W1021" s="17"/>
      <c r="X1021" s="17"/>
      <c r="Y1021" s="17"/>
      <c r="Z1021" s="17"/>
      <c r="AA1021" s="17"/>
      <c r="AB1021" s="17"/>
      <c r="AC1021" s="17"/>
      <c r="AD1021" s="17"/>
      <c r="AE1021" s="17"/>
      <c r="AF1021" s="17"/>
      <c r="AG1021" s="17"/>
      <c r="AH1021" s="17"/>
      <c r="AI1021" s="17"/>
      <c r="AJ1021" s="17"/>
      <c r="AK1021" s="17"/>
      <c r="AL1021" s="19"/>
      <c r="AM1021" s="19"/>
      <c r="AN1021" s="19"/>
      <c r="AO1021" s="19"/>
    </row>
    <row r="1022" spans="16:41" x14ac:dyDescent="0.2">
      <c r="P1022" s="17"/>
      <c r="Q1022" s="17"/>
      <c r="R1022" s="17"/>
      <c r="S1022" s="17"/>
      <c r="T1022" s="17"/>
      <c r="U1022" s="17"/>
      <c r="V1022" s="17"/>
      <c r="W1022" s="17"/>
      <c r="X1022" s="17"/>
      <c r="Y1022" s="17"/>
      <c r="Z1022" s="17"/>
      <c r="AA1022" s="17"/>
      <c r="AB1022" s="17"/>
      <c r="AC1022" s="17"/>
      <c r="AD1022" s="17"/>
      <c r="AE1022" s="17"/>
      <c r="AF1022" s="17"/>
      <c r="AG1022" s="17"/>
      <c r="AH1022" s="17"/>
      <c r="AI1022" s="17"/>
      <c r="AJ1022" s="17"/>
      <c r="AK1022" s="17"/>
      <c r="AL1022" s="19"/>
      <c r="AM1022" s="19"/>
      <c r="AN1022" s="19"/>
      <c r="AO1022" s="19"/>
    </row>
    <row r="1023" spans="16:41" x14ac:dyDescent="0.2">
      <c r="P1023" s="17"/>
      <c r="Q1023" s="17"/>
      <c r="R1023" s="17"/>
      <c r="S1023" s="17"/>
      <c r="T1023" s="17"/>
      <c r="U1023" s="17"/>
      <c r="V1023" s="17"/>
      <c r="W1023" s="17"/>
      <c r="X1023" s="17"/>
      <c r="Y1023" s="17"/>
      <c r="Z1023" s="17"/>
      <c r="AA1023" s="17"/>
      <c r="AB1023" s="17"/>
      <c r="AC1023" s="17"/>
      <c r="AD1023" s="17"/>
      <c r="AE1023" s="17"/>
      <c r="AF1023" s="17"/>
      <c r="AG1023" s="17"/>
      <c r="AH1023" s="17"/>
      <c r="AI1023" s="17"/>
      <c r="AJ1023" s="17"/>
      <c r="AK1023" s="17"/>
      <c r="AL1023" s="19"/>
      <c r="AM1023" s="19"/>
      <c r="AN1023" s="19"/>
      <c r="AO1023" s="19"/>
    </row>
    <row r="1024" spans="16:41" x14ac:dyDescent="0.2">
      <c r="P1024" s="17"/>
      <c r="Q1024" s="17"/>
      <c r="R1024" s="17"/>
      <c r="S1024" s="17"/>
      <c r="T1024" s="17"/>
      <c r="U1024" s="17"/>
      <c r="V1024" s="17"/>
      <c r="W1024" s="17"/>
      <c r="X1024" s="17"/>
      <c r="Y1024" s="17"/>
      <c r="Z1024" s="17"/>
      <c r="AA1024" s="17"/>
      <c r="AB1024" s="17"/>
      <c r="AC1024" s="17"/>
      <c r="AD1024" s="17"/>
      <c r="AE1024" s="17"/>
      <c r="AF1024" s="17"/>
      <c r="AG1024" s="17"/>
      <c r="AH1024" s="17"/>
      <c r="AI1024" s="17"/>
      <c r="AJ1024" s="17"/>
      <c r="AK1024" s="17"/>
      <c r="AL1024" s="19"/>
      <c r="AM1024" s="19"/>
      <c r="AN1024" s="19"/>
      <c r="AO1024" s="19"/>
    </row>
    <row r="1025" spans="16:41" x14ac:dyDescent="0.2">
      <c r="P1025" s="17"/>
      <c r="Q1025" s="17"/>
      <c r="R1025" s="17"/>
      <c r="S1025" s="17"/>
      <c r="T1025" s="17"/>
      <c r="U1025" s="17"/>
      <c r="V1025" s="17"/>
      <c r="W1025" s="17"/>
      <c r="X1025" s="17"/>
      <c r="Y1025" s="17"/>
      <c r="Z1025" s="17"/>
      <c r="AA1025" s="17"/>
      <c r="AB1025" s="17"/>
      <c r="AC1025" s="17"/>
      <c r="AD1025" s="17"/>
      <c r="AE1025" s="17"/>
      <c r="AF1025" s="17"/>
      <c r="AG1025" s="17"/>
      <c r="AH1025" s="17"/>
      <c r="AI1025" s="17"/>
      <c r="AJ1025" s="17"/>
      <c r="AK1025" s="17"/>
      <c r="AL1025" s="19"/>
      <c r="AM1025" s="19"/>
      <c r="AN1025" s="19"/>
      <c r="AO1025" s="19"/>
    </row>
    <row r="1026" spans="16:41" x14ac:dyDescent="0.2">
      <c r="P1026" s="17"/>
      <c r="Q1026" s="17"/>
      <c r="R1026" s="17"/>
      <c r="S1026" s="17"/>
      <c r="T1026" s="17"/>
      <c r="U1026" s="17"/>
      <c r="V1026" s="17"/>
      <c r="W1026" s="17"/>
      <c r="X1026" s="17"/>
      <c r="Y1026" s="17"/>
      <c r="Z1026" s="17"/>
      <c r="AA1026" s="17"/>
      <c r="AB1026" s="17"/>
      <c r="AC1026" s="17"/>
      <c r="AD1026" s="17"/>
      <c r="AE1026" s="17"/>
      <c r="AF1026" s="17"/>
      <c r="AG1026" s="17"/>
      <c r="AH1026" s="17"/>
      <c r="AI1026" s="17"/>
      <c r="AJ1026" s="17"/>
      <c r="AK1026" s="17"/>
      <c r="AL1026" s="19"/>
      <c r="AM1026" s="19"/>
      <c r="AN1026" s="19"/>
      <c r="AO1026" s="19"/>
    </row>
    <row r="1027" spans="16:41" x14ac:dyDescent="0.2">
      <c r="P1027" s="17"/>
      <c r="Q1027" s="17"/>
      <c r="R1027" s="17"/>
      <c r="S1027" s="17"/>
      <c r="T1027" s="17"/>
      <c r="U1027" s="17"/>
      <c r="V1027" s="17"/>
      <c r="W1027" s="17"/>
      <c r="X1027" s="17"/>
      <c r="Y1027" s="17"/>
      <c r="Z1027" s="17"/>
      <c r="AA1027" s="17"/>
      <c r="AB1027" s="17"/>
      <c r="AC1027" s="17"/>
      <c r="AD1027" s="17"/>
      <c r="AE1027" s="17"/>
      <c r="AF1027" s="17"/>
      <c r="AG1027" s="17"/>
      <c r="AH1027" s="17"/>
      <c r="AI1027" s="17"/>
      <c r="AJ1027" s="17"/>
      <c r="AK1027" s="17"/>
      <c r="AL1027" s="19"/>
      <c r="AM1027" s="19"/>
      <c r="AN1027" s="19"/>
      <c r="AO1027" s="19"/>
    </row>
    <row r="1028" spans="16:41" x14ac:dyDescent="0.2">
      <c r="P1028" s="17"/>
      <c r="Q1028" s="17"/>
      <c r="R1028" s="17"/>
      <c r="S1028" s="17"/>
      <c r="T1028" s="17"/>
      <c r="U1028" s="17"/>
      <c r="V1028" s="17"/>
      <c r="W1028" s="17"/>
      <c r="X1028" s="17"/>
      <c r="Y1028" s="17"/>
      <c r="Z1028" s="17"/>
      <c r="AA1028" s="17"/>
      <c r="AB1028" s="17"/>
      <c r="AC1028" s="17"/>
      <c r="AD1028" s="17"/>
      <c r="AE1028" s="17"/>
      <c r="AF1028" s="17"/>
      <c r="AG1028" s="17"/>
      <c r="AH1028" s="17"/>
      <c r="AI1028" s="17"/>
      <c r="AJ1028" s="17"/>
      <c r="AK1028" s="17"/>
      <c r="AL1028" s="19"/>
      <c r="AM1028" s="19"/>
      <c r="AN1028" s="19"/>
      <c r="AO1028" s="19"/>
    </row>
    <row r="1029" spans="16:41" x14ac:dyDescent="0.2">
      <c r="P1029" s="17"/>
      <c r="Q1029" s="17"/>
      <c r="R1029" s="17"/>
      <c r="S1029" s="17"/>
      <c r="T1029" s="17"/>
      <c r="U1029" s="17"/>
      <c r="V1029" s="17"/>
      <c r="W1029" s="17"/>
      <c r="X1029" s="17"/>
      <c r="Y1029" s="17"/>
      <c r="Z1029" s="17"/>
      <c r="AA1029" s="17"/>
      <c r="AB1029" s="17"/>
      <c r="AC1029" s="17"/>
      <c r="AD1029" s="17"/>
      <c r="AE1029" s="17"/>
      <c r="AF1029" s="17"/>
      <c r="AG1029" s="17"/>
      <c r="AH1029" s="17"/>
      <c r="AI1029" s="17"/>
      <c r="AJ1029" s="17"/>
      <c r="AK1029" s="17"/>
      <c r="AL1029" s="19"/>
      <c r="AM1029" s="19"/>
      <c r="AN1029" s="19"/>
      <c r="AO1029" s="19"/>
    </row>
    <row r="1030" spans="16:41" x14ac:dyDescent="0.2">
      <c r="P1030" s="17"/>
      <c r="Q1030" s="17"/>
      <c r="R1030" s="17"/>
      <c r="S1030" s="17"/>
      <c r="T1030" s="17"/>
      <c r="U1030" s="17"/>
      <c r="V1030" s="17"/>
      <c r="W1030" s="17"/>
      <c r="X1030" s="17"/>
      <c r="Y1030" s="17"/>
      <c r="Z1030" s="17"/>
      <c r="AA1030" s="17"/>
      <c r="AB1030" s="17"/>
      <c r="AC1030" s="17"/>
      <c r="AD1030" s="17"/>
      <c r="AE1030" s="17"/>
      <c r="AF1030" s="17"/>
      <c r="AG1030" s="17"/>
      <c r="AH1030" s="17"/>
      <c r="AI1030" s="17"/>
      <c r="AJ1030" s="17"/>
      <c r="AK1030" s="17"/>
      <c r="AL1030" s="19"/>
      <c r="AM1030" s="19"/>
      <c r="AN1030" s="19"/>
      <c r="AO1030" s="19"/>
    </row>
    <row r="1031" spans="16:41" x14ac:dyDescent="0.2">
      <c r="P1031" s="17"/>
      <c r="Q1031" s="17"/>
      <c r="R1031" s="17"/>
      <c r="S1031" s="17"/>
      <c r="T1031" s="17"/>
      <c r="U1031" s="17"/>
      <c r="V1031" s="17"/>
      <c r="W1031" s="17"/>
      <c r="X1031" s="17"/>
      <c r="Y1031" s="17"/>
      <c r="Z1031" s="17"/>
      <c r="AA1031" s="17"/>
      <c r="AB1031" s="17"/>
      <c r="AC1031" s="17"/>
      <c r="AD1031" s="17"/>
      <c r="AE1031" s="17"/>
      <c r="AF1031" s="17"/>
      <c r="AG1031" s="17"/>
      <c r="AH1031" s="17"/>
      <c r="AI1031" s="17"/>
      <c r="AJ1031" s="17"/>
      <c r="AK1031" s="17"/>
      <c r="AL1031" s="19"/>
      <c r="AM1031" s="19"/>
      <c r="AN1031" s="19"/>
      <c r="AO1031" s="19"/>
    </row>
    <row r="1032" spans="16:41" x14ac:dyDescent="0.2">
      <c r="P1032" s="17"/>
      <c r="Q1032" s="17"/>
      <c r="R1032" s="17"/>
      <c r="S1032" s="17"/>
      <c r="T1032" s="17"/>
      <c r="U1032" s="17"/>
      <c r="V1032" s="17"/>
      <c r="W1032" s="17"/>
      <c r="X1032" s="17"/>
      <c r="Y1032" s="17"/>
      <c r="Z1032" s="17"/>
      <c r="AA1032" s="17"/>
      <c r="AB1032" s="17"/>
      <c r="AC1032" s="17"/>
      <c r="AD1032" s="17"/>
      <c r="AE1032" s="17"/>
      <c r="AF1032" s="17"/>
      <c r="AG1032" s="17"/>
      <c r="AH1032" s="17"/>
      <c r="AI1032" s="17"/>
      <c r="AJ1032" s="17"/>
      <c r="AK1032" s="17"/>
      <c r="AL1032" s="19"/>
      <c r="AM1032" s="19"/>
      <c r="AN1032" s="19"/>
      <c r="AO1032" s="19"/>
    </row>
    <row r="1033" spans="16:41" x14ac:dyDescent="0.2">
      <c r="Y1033" s="17"/>
      <c r="Z1033" s="17"/>
      <c r="AA1033" s="17"/>
      <c r="AB1033" s="17"/>
      <c r="AC1033" s="17"/>
      <c r="AD1033" s="17"/>
      <c r="AE1033" s="17"/>
      <c r="AF1033" s="17"/>
      <c r="AG1033" s="17"/>
      <c r="AH1033" s="17"/>
      <c r="AI1033" s="17"/>
      <c r="AJ1033" s="17"/>
      <c r="AK1033" s="17"/>
      <c r="AL1033" s="19"/>
      <c r="AM1033" s="19"/>
      <c r="AN1033" s="19"/>
      <c r="AO1033" s="19"/>
    </row>
    <row r="1034" spans="16:41" x14ac:dyDescent="0.2">
      <c r="Y1034" s="17"/>
      <c r="Z1034" s="17"/>
      <c r="AA1034" s="17"/>
      <c r="AB1034" s="17"/>
      <c r="AC1034" s="17"/>
      <c r="AD1034" s="17"/>
      <c r="AE1034" s="17"/>
      <c r="AF1034" s="17"/>
      <c r="AG1034" s="17"/>
      <c r="AH1034" s="17"/>
      <c r="AI1034" s="17"/>
      <c r="AJ1034" s="17"/>
      <c r="AK1034" s="17"/>
      <c r="AL1034" s="19"/>
      <c r="AM1034" s="19"/>
      <c r="AN1034" s="19"/>
      <c r="AO1034" s="19"/>
    </row>
    <row r="1035" spans="16:41" x14ac:dyDescent="0.2">
      <c r="Y1035" s="17"/>
      <c r="Z1035" s="17"/>
      <c r="AA1035" s="17"/>
      <c r="AB1035" s="17"/>
      <c r="AC1035" s="17"/>
      <c r="AD1035" s="17"/>
      <c r="AE1035" s="17"/>
      <c r="AF1035" s="17"/>
      <c r="AG1035" s="17"/>
      <c r="AH1035" s="17"/>
      <c r="AI1035" s="17"/>
      <c r="AJ1035" s="17"/>
      <c r="AK1035" s="17"/>
      <c r="AL1035" s="19"/>
      <c r="AM1035" s="19"/>
      <c r="AN1035" s="19"/>
      <c r="AO1035" s="19"/>
    </row>
    <row r="1036" spans="16:41" x14ac:dyDescent="0.2">
      <c r="Y1036" s="17"/>
      <c r="Z1036" s="17"/>
      <c r="AA1036" s="17"/>
      <c r="AB1036" s="17"/>
      <c r="AC1036" s="17"/>
      <c r="AD1036" s="17"/>
      <c r="AE1036" s="17"/>
      <c r="AF1036" s="17"/>
      <c r="AG1036" s="17"/>
      <c r="AH1036" s="17"/>
      <c r="AI1036" s="17"/>
      <c r="AJ1036" s="17"/>
      <c r="AK1036" s="17"/>
      <c r="AL1036" s="19"/>
      <c r="AM1036" s="19"/>
      <c r="AN1036" s="19"/>
      <c r="AO1036" s="19"/>
    </row>
    <row r="1037" spans="16:41" x14ac:dyDescent="0.2">
      <c r="Y1037" s="17"/>
      <c r="Z1037" s="17"/>
      <c r="AA1037" s="17"/>
      <c r="AB1037" s="17"/>
      <c r="AC1037" s="17"/>
      <c r="AD1037" s="17"/>
      <c r="AE1037" s="17"/>
      <c r="AF1037" s="17"/>
      <c r="AG1037" s="17"/>
      <c r="AH1037" s="17"/>
      <c r="AI1037" s="17"/>
      <c r="AJ1037" s="17"/>
      <c r="AK1037" s="17"/>
      <c r="AL1037" s="19"/>
      <c r="AM1037" s="19"/>
      <c r="AN1037" s="19"/>
      <c r="AO1037" s="19"/>
    </row>
    <row r="1038" spans="16:41" x14ac:dyDescent="0.2">
      <c r="Y1038" s="17"/>
      <c r="Z1038" s="17"/>
      <c r="AA1038" s="17"/>
      <c r="AB1038" s="17"/>
      <c r="AC1038" s="17"/>
      <c r="AD1038" s="17"/>
      <c r="AE1038" s="17"/>
      <c r="AF1038" s="17"/>
      <c r="AG1038" s="17"/>
      <c r="AH1038" s="17"/>
      <c r="AI1038" s="17"/>
      <c r="AJ1038" s="17"/>
      <c r="AK1038" s="17"/>
      <c r="AL1038" s="19"/>
      <c r="AM1038" s="19"/>
      <c r="AN1038" s="19"/>
      <c r="AO1038" s="19"/>
    </row>
    <row r="1039" spans="16:41" x14ac:dyDescent="0.2">
      <c r="Y1039" s="17"/>
      <c r="Z1039" s="17"/>
      <c r="AA1039" s="17"/>
      <c r="AB1039" s="17"/>
      <c r="AC1039" s="17"/>
      <c r="AD1039" s="17"/>
      <c r="AE1039" s="17"/>
      <c r="AF1039" s="17"/>
      <c r="AG1039" s="17"/>
      <c r="AH1039" s="17"/>
      <c r="AI1039" s="17"/>
      <c r="AJ1039" s="17"/>
      <c r="AK1039" s="17"/>
      <c r="AL1039" s="19"/>
      <c r="AM1039" s="19"/>
      <c r="AN1039" s="19"/>
      <c r="AO1039" s="19"/>
    </row>
    <row r="1040" spans="16:41" x14ac:dyDescent="0.2">
      <c r="Y1040" s="17"/>
      <c r="Z1040" s="17"/>
      <c r="AA1040" s="17"/>
      <c r="AB1040" s="17"/>
      <c r="AC1040" s="17"/>
      <c r="AD1040" s="17"/>
      <c r="AE1040" s="17"/>
      <c r="AF1040" s="17"/>
      <c r="AG1040" s="17"/>
      <c r="AH1040" s="17"/>
      <c r="AI1040" s="17"/>
      <c r="AJ1040" s="17"/>
      <c r="AK1040" s="17"/>
      <c r="AL1040" s="19"/>
      <c r="AM1040" s="19"/>
      <c r="AN1040" s="19"/>
      <c r="AO1040" s="19"/>
    </row>
    <row r="1041" spans="16:41" x14ac:dyDescent="0.2">
      <c r="Y1041" s="17"/>
      <c r="Z1041" s="17"/>
      <c r="AA1041" s="17"/>
      <c r="AB1041" s="17"/>
      <c r="AC1041" s="17"/>
      <c r="AD1041" s="17"/>
      <c r="AE1041" s="17"/>
      <c r="AF1041" s="17"/>
      <c r="AG1041" s="17"/>
      <c r="AH1041" s="17"/>
      <c r="AI1041" s="17"/>
      <c r="AJ1041" s="17"/>
      <c r="AK1041" s="17"/>
      <c r="AL1041" s="19"/>
      <c r="AM1041" s="19"/>
      <c r="AN1041" s="19"/>
      <c r="AO1041" s="19"/>
    </row>
    <row r="1042" spans="16:41" x14ac:dyDescent="0.2">
      <c r="Y1042" s="17"/>
      <c r="Z1042" s="17"/>
      <c r="AA1042" s="17"/>
      <c r="AB1042" s="17"/>
      <c r="AC1042" s="17"/>
      <c r="AD1042" s="17"/>
      <c r="AE1042" s="17"/>
      <c r="AF1042" s="17"/>
      <c r="AG1042" s="17"/>
      <c r="AH1042" s="17"/>
      <c r="AI1042" s="17"/>
      <c r="AJ1042" s="17"/>
      <c r="AK1042" s="17"/>
      <c r="AL1042" s="19"/>
      <c r="AM1042" s="19"/>
      <c r="AN1042" s="19"/>
      <c r="AO1042" s="19"/>
    </row>
    <row r="1043" spans="16:41" x14ac:dyDescent="0.2">
      <c r="Y1043" s="17"/>
      <c r="Z1043" s="17"/>
      <c r="AA1043" s="17"/>
      <c r="AB1043" s="17"/>
      <c r="AC1043" s="17"/>
      <c r="AD1043" s="17"/>
      <c r="AE1043" s="17"/>
      <c r="AF1043" s="17"/>
      <c r="AG1043" s="17"/>
      <c r="AH1043" s="17"/>
      <c r="AI1043" s="17"/>
      <c r="AJ1043" s="17"/>
      <c r="AK1043" s="17"/>
      <c r="AL1043" s="19"/>
      <c r="AM1043" s="19"/>
      <c r="AN1043" s="19"/>
      <c r="AO1043" s="19"/>
    </row>
    <row r="1044" spans="16:41" x14ac:dyDescent="0.2">
      <c r="Y1044" s="17"/>
      <c r="Z1044" s="17"/>
      <c r="AA1044" s="17"/>
      <c r="AB1044" s="17"/>
      <c r="AC1044" s="17"/>
      <c r="AD1044" s="17"/>
      <c r="AE1044" s="17"/>
      <c r="AF1044" s="17"/>
      <c r="AG1044" s="17"/>
      <c r="AH1044" s="17"/>
      <c r="AI1044" s="17"/>
      <c r="AJ1044" s="17"/>
      <c r="AK1044" s="17"/>
      <c r="AL1044" s="19"/>
      <c r="AM1044" s="19"/>
      <c r="AN1044" s="19"/>
      <c r="AO1044" s="19"/>
    </row>
    <row r="1045" spans="16:41" x14ac:dyDescent="0.2">
      <c r="Y1045" s="17"/>
      <c r="Z1045" s="17"/>
      <c r="AA1045" s="17"/>
      <c r="AB1045" s="17"/>
      <c r="AC1045" s="17"/>
      <c r="AD1045" s="17"/>
      <c r="AE1045" s="17"/>
      <c r="AF1045" s="17"/>
      <c r="AG1045" s="17"/>
      <c r="AH1045" s="17"/>
      <c r="AI1045" s="17"/>
      <c r="AJ1045" s="17"/>
      <c r="AK1045" s="17"/>
      <c r="AL1045" s="19"/>
      <c r="AM1045" s="19"/>
      <c r="AN1045" s="19"/>
      <c r="AO1045" s="19"/>
    </row>
    <row r="1046" spans="16:41" x14ac:dyDescent="0.2">
      <c r="Y1046" s="17"/>
      <c r="Z1046" s="17"/>
      <c r="AA1046" s="17"/>
      <c r="AB1046" s="17"/>
      <c r="AC1046" s="17"/>
      <c r="AD1046" s="17"/>
      <c r="AE1046" s="17"/>
      <c r="AF1046" s="17"/>
      <c r="AG1046" s="17"/>
      <c r="AH1046" s="17"/>
      <c r="AI1046" s="17"/>
      <c r="AJ1046" s="17"/>
      <c r="AK1046" s="17"/>
      <c r="AL1046" s="19"/>
      <c r="AM1046" s="19"/>
      <c r="AN1046" s="19"/>
      <c r="AO1046" s="19"/>
    </row>
    <row r="1047" spans="16:41" x14ac:dyDescent="0.2">
      <c r="Y1047" s="17"/>
      <c r="Z1047" s="17"/>
      <c r="AA1047" s="17"/>
      <c r="AB1047" s="17"/>
      <c r="AC1047" s="17"/>
      <c r="AD1047" s="17"/>
      <c r="AE1047" s="17"/>
      <c r="AF1047" s="17"/>
      <c r="AG1047" s="17"/>
      <c r="AH1047" s="17"/>
      <c r="AI1047" s="17"/>
      <c r="AJ1047" s="17"/>
      <c r="AK1047" s="17"/>
      <c r="AL1047" s="19"/>
      <c r="AM1047" s="19"/>
      <c r="AN1047" s="19"/>
      <c r="AO1047" s="19"/>
    </row>
    <row r="1048" spans="16:41" x14ac:dyDescent="0.2">
      <c r="Y1048" s="17"/>
      <c r="Z1048" s="17"/>
      <c r="AA1048" s="17"/>
      <c r="AB1048" s="17"/>
      <c r="AC1048" s="17"/>
      <c r="AD1048" s="17"/>
      <c r="AE1048" s="17"/>
      <c r="AF1048" s="17"/>
      <c r="AG1048" s="17"/>
      <c r="AH1048" s="17"/>
      <c r="AI1048" s="17"/>
      <c r="AJ1048" s="17"/>
      <c r="AK1048" s="17"/>
      <c r="AL1048" s="19"/>
      <c r="AM1048" s="19"/>
      <c r="AN1048" s="19"/>
      <c r="AO1048" s="19"/>
    </row>
    <row r="1049" spans="16:41" x14ac:dyDescent="0.2">
      <c r="Y1049" s="17"/>
      <c r="Z1049" s="17"/>
      <c r="AA1049" s="17"/>
      <c r="AB1049" s="17"/>
      <c r="AC1049" s="17"/>
      <c r="AD1049" s="17"/>
      <c r="AE1049" s="17"/>
      <c r="AF1049" s="17"/>
      <c r="AG1049" s="17"/>
      <c r="AH1049" s="17"/>
      <c r="AI1049" s="17"/>
      <c r="AJ1049" s="17"/>
      <c r="AK1049" s="17"/>
      <c r="AL1049" s="19"/>
      <c r="AM1049" s="19"/>
      <c r="AN1049" s="19"/>
      <c r="AO1049" s="19"/>
    </row>
    <row r="1050" spans="16:41" x14ac:dyDescent="0.2">
      <c r="Y1050" s="17"/>
      <c r="Z1050" s="17"/>
      <c r="AA1050" s="17"/>
      <c r="AB1050" s="17"/>
      <c r="AC1050" s="17"/>
      <c r="AD1050" s="17"/>
      <c r="AE1050" s="17"/>
      <c r="AF1050" s="17"/>
      <c r="AG1050" s="17"/>
      <c r="AH1050" s="17"/>
      <c r="AI1050" s="17"/>
      <c r="AJ1050" s="17"/>
      <c r="AK1050" s="17"/>
      <c r="AL1050" s="19"/>
      <c r="AM1050" s="19"/>
      <c r="AN1050" s="19"/>
      <c r="AO1050" s="19"/>
    </row>
    <row r="1051" spans="16:41" x14ac:dyDescent="0.2">
      <c r="P1051" s="17"/>
      <c r="Q1051" s="17"/>
      <c r="R1051" s="17"/>
      <c r="S1051" s="17"/>
      <c r="T1051" s="17"/>
      <c r="U1051" s="17"/>
      <c r="V1051" s="17"/>
      <c r="W1051" s="17"/>
      <c r="X1051" s="17"/>
      <c r="Y1051" s="17"/>
      <c r="Z1051" s="17"/>
      <c r="AA1051" s="17"/>
      <c r="AB1051" s="17"/>
      <c r="AC1051" s="17"/>
      <c r="AD1051" s="17"/>
      <c r="AE1051" s="17"/>
      <c r="AF1051" s="17"/>
      <c r="AG1051" s="17"/>
      <c r="AH1051" s="17"/>
      <c r="AI1051" s="17"/>
      <c r="AJ1051" s="17"/>
      <c r="AK1051" s="17"/>
      <c r="AL1051" s="19"/>
      <c r="AM1051" s="19"/>
      <c r="AN1051" s="19"/>
      <c r="AO1051" s="19"/>
    </row>
    <row r="1052" spans="16:41" x14ac:dyDescent="0.2">
      <c r="P1052" s="17"/>
      <c r="Q1052" s="17"/>
      <c r="R1052" s="17"/>
      <c r="S1052" s="17"/>
      <c r="T1052" s="17"/>
      <c r="U1052" s="17"/>
      <c r="V1052" s="17"/>
      <c r="W1052" s="17"/>
      <c r="X1052" s="17"/>
      <c r="Y1052" s="17"/>
      <c r="Z1052" s="17"/>
      <c r="AA1052" s="17"/>
      <c r="AB1052" s="17"/>
      <c r="AC1052" s="17"/>
      <c r="AD1052" s="17"/>
      <c r="AE1052" s="17"/>
      <c r="AF1052" s="17"/>
      <c r="AG1052" s="17"/>
      <c r="AH1052" s="17"/>
      <c r="AI1052" s="17"/>
      <c r="AJ1052" s="17"/>
      <c r="AK1052" s="17"/>
      <c r="AL1052" s="19"/>
      <c r="AM1052" s="19"/>
      <c r="AN1052" s="19"/>
      <c r="AO1052" s="19"/>
    </row>
    <row r="1053" spans="16:41" x14ac:dyDescent="0.2">
      <c r="P1053" s="17"/>
      <c r="Q1053" s="17"/>
      <c r="R1053" s="17"/>
      <c r="S1053" s="17"/>
      <c r="T1053" s="17"/>
      <c r="U1053" s="17"/>
      <c r="V1053" s="17"/>
      <c r="W1053" s="17"/>
      <c r="X1053" s="17"/>
      <c r="Y1053" s="17"/>
      <c r="Z1053" s="17"/>
      <c r="AA1053" s="17"/>
      <c r="AB1053" s="17"/>
      <c r="AC1053" s="17"/>
      <c r="AD1053" s="17"/>
      <c r="AE1053" s="17"/>
      <c r="AF1053" s="17"/>
      <c r="AG1053" s="17"/>
      <c r="AH1053" s="17"/>
      <c r="AI1053" s="17"/>
      <c r="AJ1053" s="17"/>
      <c r="AK1053" s="17"/>
      <c r="AL1053" s="19"/>
      <c r="AM1053" s="19"/>
      <c r="AN1053" s="19"/>
      <c r="AO1053" s="19"/>
    </row>
    <row r="1054" spans="16:41" x14ac:dyDescent="0.2">
      <c r="P1054" s="17"/>
      <c r="Q1054" s="17"/>
      <c r="R1054" s="17"/>
      <c r="S1054" s="17"/>
      <c r="T1054" s="17"/>
      <c r="U1054" s="17"/>
      <c r="V1054" s="17"/>
      <c r="W1054" s="17"/>
      <c r="X1054" s="17"/>
      <c r="Y1054" s="17"/>
      <c r="Z1054" s="17"/>
      <c r="AA1054" s="17"/>
      <c r="AB1054" s="17"/>
      <c r="AC1054" s="17"/>
      <c r="AD1054" s="17"/>
      <c r="AE1054" s="17"/>
      <c r="AF1054" s="17"/>
      <c r="AG1054" s="17"/>
      <c r="AH1054" s="17"/>
      <c r="AI1054" s="17"/>
      <c r="AJ1054" s="17"/>
      <c r="AK1054" s="17"/>
      <c r="AL1054" s="19"/>
      <c r="AM1054" s="19"/>
      <c r="AN1054" s="19"/>
      <c r="AO1054" s="19"/>
    </row>
    <row r="1055" spans="16:41" x14ac:dyDescent="0.2">
      <c r="P1055" s="17"/>
      <c r="Q1055" s="17"/>
      <c r="R1055" s="17"/>
      <c r="S1055" s="17"/>
      <c r="T1055" s="17"/>
      <c r="U1055" s="17"/>
      <c r="V1055" s="17"/>
      <c r="W1055" s="17"/>
      <c r="X1055" s="17"/>
      <c r="Y1055" s="17"/>
      <c r="Z1055" s="17"/>
      <c r="AA1055" s="17"/>
      <c r="AB1055" s="17"/>
      <c r="AC1055" s="17"/>
      <c r="AD1055" s="17"/>
      <c r="AE1055" s="17"/>
      <c r="AF1055" s="17"/>
      <c r="AG1055" s="17"/>
      <c r="AH1055" s="17"/>
      <c r="AI1055" s="17"/>
      <c r="AJ1055" s="17"/>
      <c r="AK1055" s="17"/>
      <c r="AL1055" s="19"/>
      <c r="AM1055" s="19"/>
      <c r="AN1055" s="19"/>
      <c r="AO1055" s="19"/>
    </row>
    <row r="1056" spans="16:41" x14ac:dyDescent="0.2">
      <c r="P1056" s="17"/>
      <c r="Q1056" s="17"/>
      <c r="R1056" s="17"/>
      <c r="S1056" s="17"/>
      <c r="T1056" s="17"/>
      <c r="U1056" s="17"/>
      <c r="V1056" s="17"/>
      <c r="W1056" s="17"/>
      <c r="X1056" s="17"/>
      <c r="Y1056" s="17"/>
      <c r="Z1056" s="17"/>
      <c r="AA1056" s="17"/>
      <c r="AB1056" s="17"/>
      <c r="AC1056" s="17"/>
      <c r="AD1056" s="17"/>
      <c r="AE1056" s="17"/>
      <c r="AF1056" s="17"/>
      <c r="AG1056" s="17"/>
      <c r="AH1056" s="17"/>
      <c r="AI1056" s="17"/>
      <c r="AJ1056" s="17"/>
      <c r="AK1056" s="17"/>
      <c r="AL1056" s="19"/>
      <c r="AM1056" s="19"/>
      <c r="AN1056" s="19"/>
      <c r="AO1056" s="19"/>
    </row>
    <row r="1057" spans="16:41" x14ac:dyDescent="0.2">
      <c r="P1057" s="17"/>
      <c r="Q1057" s="17"/>
      <c r="R1057" s="17"/>
      <c r="S1057" s="17"/>
      <c r="T1057" s="17"/>
      <c r="U1057" s="17"/>
      <c r="V1057" s="17"/>
      <c r="W1057" s="17"/>
      <c r="X1057" s="17"/>
      <c r="Y1057" s="17"/>
      <c r="Z1057" s="17"/>
      <c r="AA1057" s="17"/>
      <c r="AB1057" s="17"/>
      <c r="AC1057" s="17"/>
      <c r="AD1057" s="17"/>
      <c r="AE1057" s="17"/>
      <c r="AF1057" s="17"/>
      <c r="AG1057" s="17"/>
      <c r="AH1057" s="17"/>
      <c r="AI1057" s="17"/>
      <c r="AJ1057" s="17"/>
      <c r="AK1057" s="17"/>
      <c r="AL1057" s="19"/>
      <c r="AM1057" s="19"/>
      <c r="AN1057" s="19"/>
      <c r="AO1057" s="19"/>
    </row>
    <row r="1058" spans="16:41" x14ac:dyDescent="0.2">
      <c r="P1058" s="17"/>
      <c r="Q1058" s="17"/>
      <c r="R1058" s="17"/>
      <c r="S1058" s="17"/>
      <c r="T1058" s="17"/>
      <c r="U1058" s="17"/>
      <c r="V1058" s="17"/>
      <c r="W1058" s="17"/>
      <c r="X1058" s="17"/>
      <c r="Y1058" s="17"/>
      <c r="Z1058" s="17"/>
      <c r="AA1058" s="17"/>
      <c r="AB1058" s="17"/>
      <c r="AC1058" s="17"/>
      <c r="AD1058" s="17"/>
      <c r="AE1058" s="17"/>
      <c r="AF1058" s="17"/>
      <c r="AG1058" s="17"/>
      <c r="AH1058" s="17"/>
      <c r="AI1058" s="17"/>
      <c r="AJ1058" s="17"/>
      <c r="AK1058" s="17"/>
      <c r="AL1058" s="19"/>
      <c r="AM1058" s="19"/>
      <c r="AN1058" s="19"/>
      <c r="AO1058" s="19"/>
    </row>
    <row r="1059" spans="16:41" x14ac:dyDescent="0.2">
      <c r="P1059" s="17"/>
      <c r="Q1059" s="17"/>
      <c r="R1059" s="17"/>
      <c r="S1059" s="17"/>
      <c r="T1059" s="17"/>
      <c r="U1059" s="17"/>
      <c r="V1059" s="17"/>
      <c r="W1059" s="17"/>
      <c r="X1059" s="17"/>
      <c r="Y1059" s="17"/>
      <c r="Z1059" s="17"/>
      <c r="AA1059" s="17"/>
      <c r="AB1059" s="17"/>
      <c r="AC1059" s="17"/>
      <c r="AD1059" s="17"/>
      <c r="AE1059" s="17"/>
      <c r="AF1059" s="17"/>
      <c r="AG1059" s="17"/>
      <c r="AH1059" s="17"/>
      <c r="AI1059" s="17"/>
      <c r="AJ1059" s="17"/>
      <c r="AK1059" s="17"/>
      <c r="AL1059" s="19"/>
      <c r="AM1059" s="19"/>
      <c r="AN1059" s="19"/>
      <c r="AO1059" s="19"/>
    </row>
    <row r="1060" spans="16:41" x14ac:dyDescent="0.2">
      <c r="P1060" s="17"/>
      <c r="Q1060" s="17"/>
      <c r="R1060" s="17"/>
      <c r="S1060" s="17"/>
      <c r="T1060" s="17"/>
      <c r="U1060" s="17"/>
      <c r="V1060" s="17"/>
      <c r="W1060" s="17"/>
      <c r="X1060" s="17"/>
      <c r="Y1060" s="17"/>
      <c r="Z1060" s="17"/>
      <c r="AA1060" s="17"/>
      <c r="AB1060" s="17"/>
      <c r="AC1060" s="17"/>
      <c r="AD1060" s="17"/>
      <c r="AE1060" s="17"/>
      <c r="AF1060" s="17"/>
      <c r="AG1060" s="17"/>
      <c r="AH1060" s="17"/>
      <c r="AI1060" s="17"/>
      <c r="AJ1060" s="17"/>
      <c r="AK1060" s="17"/>
      <c r="AL1060" s="19"/>
      <c r="AM1060" s="19"/>
      <c r="AN1060" s="19"/>
      <c r="AO1060" s="19"/>
    </row>
    <row r="1061" spans="16:41" x14ac:dyDescent="0.2">
      <c r="P1061" s="17"/>
      <c r="Q1061" s="17"/>
      <c r="R1061" s="17"/>
      <c r="S1061" s="17"/>
      <c r="T1061" s="17"/>
      <c r="U1061" s="17"/>
      <c r="V1061" s="17"/>
      <c r="W1061" s="17"/>
      <c r="X1061" s="17"/>
      <c r="Y1061" s="17"/>
      <c r="Z1061" s="17"/>
      <c r="AA1061" s="17"/>
      <c r="AB1061" s="17"/>
      <c r="AC1061" s="17"/>
      <c r="AD1061" s="17"/>
      <c r="AE1061" s="17"/>
      <c r="AF1061" s="17"/>
      <c r="AG1061" s="17"/>
      <c r="AH1061" s="17"/>
      <c r="AI1061" s="17"/>
      <c r="AJ1061" s="17"/>
      <c r="AK1061" s="17"/>
      <c r="AL1061" s="19"/>
      <c r="AM1061" s="19"/>
      <c r="AN1061" s="19"/>
      <c r="AO1061" s="19"/>
    </row>
    <row r="1062" spans="16:41" x14ac:dyDescent="0.2">
      <c r="P1062" s="17"/>
      <c r="Q1062" s="17"/>
      <c r="R1062" s="17"/>
      <c r="S1062" s="17"/>
      <c r="T1062" s="17"/>
      <c r="U1062" s="17"/>
      <c r="V1062" s="17"/>
      <c r="W1062" s="17"/>
      <c r="X1062" s="17"/>
      <c r="Y1062" s="17"/>
      <c r="Z1062" s="17"/>
      <c r="AA1062" s="17"/>
      <c r="AB1062" s="17"/>
      <c r="AC1062" s="17"/>
      <c r="AD1062" s="17"/>
      <c r="AE1062" s="17"/>
      <c r="AF1062" s="17"/>
      <c r="AG1062" s="17"/>
      <c r="AH1062" s="17"/>
      <c r="AI1062" s="17"/>
      <c r="AJ1062" s="17"/>
      <c r="AK1062" s="17"/>
      <c r="AL1062" s="19"/>
      <c r="AM1062" s="19"/>
      <c r="AN1062" s="19"/>
      <c r="AO1062" s="19"/>
    </row>
    <row r="1063" spans="16:41" x14ac:dyDescent="0.2">
      <c r="P1063" s="17"/>
      <c r="Q1063" s="17"/>
      <c r="R1063" s="17"/>
      <c r="S1063" s="17"/>
      <c r="T1063" s="17"/>
      <c r="U1063" s="17"/>
      <c r="V1063" s="17"/>
      <c r="W1063" s="17"/>
      <c r="X1063" s="17"/>
      <c r="Y1063" s="17"/>
      <c r="Z1063" s="17"/>
      <c r="AA1063" s="17"/>
      <c r="AB1063" s="17"/>
      <c r="AC1063" s="17"/>
      <c r="AD1063" s="17"/>
      <c r="AE1063" s="17"/>
      <c r="AF1063" s="17"/>
      <c r="AG1063" s="17"/>
      <c r="AH1063" s="17"/>
      <c r="AI1063" s="17"/>
      <c r="AJ1063" s="17"/>
      <c r="AK1063" s="17"/>
      <c r="AL1063" s="19"/>
      <c r="AM1063" s="19"/>
      <c r="AN1063" s="19"/>
      <c r="AO1063" s="19"/>
    </row>
    <row r="1064" spans="16:41" x14ac:dyDescent="0.2">
      <c r="P1064" s="17"/>
      <c r="Q1064" s="17"/>
      <c r="R1064" s="17"/>
      <c r="S1064" s="17"/>
      <c r="T1064" s="17"/>
      <c r="U1064" s="17"/>
      <c r="V1064" s="17"/>
      <c r="W1064" s="17"/>
      <c r="X1064" s="17"/>
      <c r="Y1064" s="17"/>
      <c r="Z1064" s="17"/>
      <c r="AA1064" s="17"/>
      <c r="AB1064" s="17"/>
      <c r="AC1064" s="17"/>
      <c r="AD1064" s="17"/>
      <c r="AE1064" s="17"/>
      <c r="AF1064" s="17"/>
      <c r="AG1064" s="17"/>
      <c r="AH1064" s="17"/>
      <c r="AI1064" s="17"/>
      <c r="AJ1064" s="17"/>
      <c r="AK1064" s="17"/>
      <c r="AL1064" s="19"/>
      <c r="AM1064" s="19"/>
      <c r="AN1064" s="19"/>
      <c r="AO1064" s="19"/>
    </row>
    <row r="1065" spans="16:41" x14ac:dyDescent="0.2">
      <c r="P1065" s="17"/>
      <c r="Q1065" s="17"/>
      <c r="R1065" s="17"/>
      <c r="S1065" s="17"/>
      <c r="T1065" s="17"/>
      <c r="U1065" s="17"/>
      <c r="V1065" s="17"/>
      <c r="W1065" s="17"/>
      <c r="X1065" s="17"/>
      <c r="Y1065" s="17"/>
      <c r="Z1065" s="17"/>
      <c r="AA1065" s="17"/>
      <c r="AB1065" s="17"/>
      <c r="AC1065" s="17"/>
      <c r="AD1065" s="17"/>
      <c r="AE1065" s="17"/>
      <c r="AF1065" s="17"/>
      <c r="AG1065" s="17"/>
      <c r="AH1065" s="17"/>
      <c r="AI1065" s="17"/>
      <c r="AJ1065" s="17"/>
      <c r="AK1065" s="17"/>
      <c r="AL1065" s="19"/>
      <c r="AM1065" s="19"/>
      <c r="AN1065" s="19"/>
      <c r="AO1065" s="19"/>
    </row>
    <row r="1066" spans="16:41" x14ac:dyDescent="0.2">
      <c r="P1066" s="17"/>
      <c r="Q1066" s="17"/>
      <c r="R1066" s="17"/>
      <c r="S1066" s="17"/>
      <c r="T1066" s="17"/>
      <c r="U1066" s="17"/>
      <c r="V1066" s="17"/>
      <c r="W1066" s="17"/>
      <c r="X1066" s="17"/>
      <c r="Y1066" s="17"/>
      <c r="Z1066" s="17"/>
      <c r="AA1066" s="17"/>
      <c r="AB1066" s="17"/>
      <c r="AC1066" s="17"/>
      <c r="AD1066" s="17"/>
      <c r="AE1066" s="17"/>
      <c r="AF1066" s="17"/>
      <c r="AG1066" s="17"/>
      <c r="AH1066" s="17"/>
      <c r="AI1066" s="17"/>
      <c r="AJ1066" s="17"/>
      <c r="AK1066" s="17"/>
      <c r="AL1066" s="19"/>
      <c r="AM1066" s="19"/>
      <c r="AN1066" s="19"/>
      <c r="AO1066" s="19"/>
    </row>
    <row r="1067" spans="16:41" x14ac:dyDescent="0.2">
      <c r="P1067" s="17"/>
      <c r="Q1067" s="17"/>
      <c r="R1067" s="17"/>
      <c r="S1067" s="17"/>
      <c r="T1067" s="17"/>
      <c r="U1067" s="17"/>
      <c r="V1067" s="17"/>
      <c r="W1067" s="17"/>
      <c r="X1067" s="17"/>
      <c r="Y1067" s="17"/>
      <c r="Z1067" s="17"/>
      <c r="AA1067" s="17"/>
      <c r="AB1067" s="17"/>
      <c r="AC1067" s="17"/>
      <c r="AD1067" s="17"/>
      <c r="AE1067" s="17"/>
      <c r="AF1067" s="17"/>
      <c r="AG1067" s="17"/>
      <c r="AH1067" s="17"/>
      <c r="AI1067" s="17"/>
      <c r="AJ1067" s="17"/>
      <c r="AK1067" s="17"/>
      <c r="AL1067" s="19"/>
      <c r="AM1067" s="19"/>
      <c r="AN1067" s="19"/>
      <c r="AO1067" s="19"/>
    </row>
    <row r="1068" spans="16:41" x14ac:dyDescent="0.2">
      <c r="P1068" s="17"/>
      <c r="Q1068" s="17"/>
      <c r="R1068" s="17"/>
      <c r="S1068" s="17"/>
      <c r="T1068" s="17"/>
      <c r="U1068" s="17"/>
      <c r="V1068" s="17"/>
      <c r="W1068" s="17"/>
      <c r="X1068" s="17"/>
      <c r="Y1068" s="17"/>
      <c r="Z1068" s="17"/>
      <c r="AA1068" s="17"/>
      <c r="AB1068" s="17"/>
      <c r="AC1068" s="17"/>
      <c r="AD1068" s="17"/>
      <c r="AE1068" s="17"/>
      <c r="AF1068" s="17"/>
      <c r="AG1068" s="17"/>
      <c r="AH1068" s="17"/>
      <c r="AI1068" s="17"/>
      <c r="AJ1068" s="17"/>
      <c r="AK1068" s="17"/>
      <c r="AL1068" s="19"/>
      <c r="AM1068" s="19"/>
      <c r="AN1068" s="19"/>
      <c r="AO1068" s="19"/>
    </row>
    <row r="1069" spans="16:41" x14ac:dyDescent="0.2">
      <c r="P1069" s="17"/>
      <c r="Q1069" s="17"/>
      <c r="R1069" s="17"/>
      <c r="S1069" s="17"/>
      <c r="T1069" s="17"/>
      <c r="U1069" s="17"/>
      <c r="V1069" s="17"/>
      <c r="W1069" s="17"/>
      <c r="X1069" s="17"/>
      <c r="Y1069" s="17"/>
      <c r="Z1069" s="17"/>
      <c r="AA1069" s="17"/>
      <c r="AB1069" s="17"/>
      <c r="AC1069" s="17"/>
      <c r="AD1069" s="17"/>
      <c r="AE1069" s="17"/>
      <c r="AF1069" s="17"/>
      <c r="AG1069" s="17"/>
      <c r="AH1069" s="17"/>
      <c r="AI1069" s="17"/>
      <c r="AJ1069" s="17"/>
      <c r="AK1069" s="17"/>
      <c r="AL1069" s="19"/>
      <c r="AM1069" s="19"/>
      <c r="AN1069" s="19"/>
      <c r="AO1069" s="19"/>
    </row>
    <row r="1070" spans="16:41" x14ac:dyDescent="0.2">
      <c r="P1070" s="17"/>
      <c r="Q1070" s="17"/>
      <c r="R1070" s="17"/>
      <c r="S1070" s="17"/>
      <c r="T1070" s="17"/>
      <c r="U1070" s="17"/>
      <c r="V1070" s="17"/>
      <c r="W1070" s="17"/>
      <c r="X1070" s="17"/>
      <c r="Y1070" s="17"/>
      <c r="Z1070" s="17"/>
      <c r="AA1070" s="17"/>
      <c r="AB1070" s="17"/>
      <c r="AC1070" s="17"/>
      <c r="AD1070" s="17"/>
      <c r="AE1070" s="17"/>
      <c r="AF1070" s="17"/>
      <c r="AG1070" s="17"/>
      <c r="AH1070" s="17"/>
      <c r="AI1070" s="17"/>
      <c r="AJ1070" s="17"/>
      <c r="AK1070" s="17"/>
      <c r="AL1070" s="19"/>
      <c r="AM1070" s="19"/>
      <c r="AN1070" s="19"/>
      <c r="AO1070" s="19"/>
    </row>
    <row r="1071" spans="16:41" x14ac:dyDescent="0.2">
      <c r="P1071" s="17"/>
      <c r="Q1071" s="17"/>
      <c r="R1071" s="17"/>
      <c r="S1071" s="17"/>
      <c r="T1071" s="17"/>
      <c r="U1071" s="17"/>
      <c r="V1071" s="17"/>
      <c r="W1071" s="17"/>
      <c r="X1071" s="17"/>
      <c r="Y1071" s="17"/>
      <c r="Z1071" s="17"/>
      <c r="AA1071" s="17"/>
      <c r="AB1071" s="17"/>
      <c r="AC1071" s="17"/>
      <c r="AD1071" s="17"/>
      <c r="AE1071" s="17"/>
      <c r="AF1071" s="17"/>
      <c r="AG1071" s="17"/>
      <c r="AH1071" s="17"/>
      <c r="AI1071" s="17"/>
      <c r="AJ1071" s="17"/>
      <c r="AK1071" s="17"/>
      <c r="AL1071" s="19"/>
      <c r="AM1071" s="19"/>
      <c r="AN1071" s="19"/>
      <c r="AO1071" s="19"/>
    </row>
    <row r="1072" spans="16:41" x14ac:dyDescent="0.2">
      <c r="P1072" s="17"/>
      <c r="Q1072" s="17"/>
      <c r="R1072" s="17"/>
      <c r="S1072" s="17"/>
      <c r="T1072" s="17"/>
      <c r="U1072" s="17"/>
      <c r="V1072" s="17"/>
      <c r="W1072" s="17"/>
      <c r="X1072" s="17"/>
      <c r="Y1072" s="17"/>
      <c r="Z1072" s="17"/>
      <c r="AA1072" s="17"/>
      <c r="AB1072" s="17"/>
      <c r="AC1072" s="17"/>
      <c r="AD1072" s="17"/>
      <c r="AE1072" s="17"/>
      <c r="AF1072" s="17"/>
      <c r="AG1072" s="17"/>
      <c r="AH1072" s="17"/>
      <c r="AI1072" s="17"/>
      <c r="AJ1072" s="17"/>
      <c r="AK1072" s="17"/>
      <c r="AL1072" s="19"/>
      <c r="AM1072" s="19"/>
      <c r="AN1072" s="19"/>
      <c r="AO1072" s="19"/>
    </row>
    <row r="1073" spans="16:41" x14ac:dyDescent="0.2">
      <c r="P1073" s="17"/>
      <c r="Q1073" s="17"/>
      <c r="R1073" s="17"/>
      <c r="S1073" s="17"/>
      <c r="T1073" s="17"/>
      <c r="U1073" s="17"/>
      <c r="V1073" s="17"/>
      <c r="W1073" s="17"/>
      <c r="X1073" s="17"/>
      <c r="Y1073" s="17"/>
      <c r="Z1073" s="17"/>
      <c r="AA1073" s="17"/>
      <c r="AB1073" s="17"/>
      <c r="AC1073" s="17"/>
      <c r="AD1073" s="17"/>
      <c r="AE1073" s="17"/>
      <c r="AF1073" s="17"/>
      <c r="AG1073" s="17"/>
      <c r="AH1073" s="17"/>
      <c r="AI1073" s="17"/>
      <c r="AJ1073" s="17"/>
      <c r="AK1073" s="17"/>
      <c r="AL1073" s="19"/>
      <c r="AM1073" s="19"/>
      <c r="AN1073" s="19"/>
      <c r="AO1073" s="19"/>
    </row>
    <row r="1074" spans="16:41" x14ac:dyDescent="0.2">
      <c r="P1074" s="17"/>
      <c r="Q1074" s="17"/>
      <c r="R1074" s="17"/>
      <c r="S1074" s="17"/>
      <c r="T1074" s="17"/>
      <c r="U1074" s="17"/>
      <c r="V1074" s="17"/>
      <c r="W1074" s="17"/>
      <c r="X1074" s="17"/>
      <c r="Y1074" s="17"/>
      <c r="Z1074" s="17"/>
      <c r="AA1074" s="17"/>
      <c r="AB1074" s="17"/>
      <c r="AC1074" s="17"/>
      <c r="AD1074" s="17"/>
      <c r="AE1074" s="17"/>
      <c r="AF1074" s="17"/>
      <c r="AG1074" s="17"/>
      <c r="AH1074" s="17"/>
      <c r="AI1074" s="17"/>
      <c r="AJ1074" s="17"/>
      <c r="AK1074" s="17"/>
      <c r="AL1074" s="19"/>
      <c r="AM1074" s="19"/>
      <c r="AN1074" s="19"/>
      <c r="AO1074" s="19"/>
    </row>
    <row r="1075" spans="16:41" x14ac:dyDescent="0.2">
      <c r="P1075" s="17"/>
      <c r="Q1075" s="17"/>
      <c r="R1075" s="17"/>
      <c r="S1075" s="17"/>
      <c r="T1075" s="17"/>
      <c r="U1075" s="17"/>
      <c r="V1075" s="17"/>
      <c r="W1075" s="17"/>
      <c r="X1075" s="17"/>
      <c r="Y1075" s="17"/>
      <c r="Z1075" s="17"/>
      <c r="AA1075" s="17"/>
      <c r="AB1075" s="17"/>
      <c r="AC1075" s="17"/>
      <c r="AD1075" s="17"/>
      <c r="AE1075" s="17"/>
      <c r="AF1075" s="17"/>
      <c r="AG1075" s="17"/>
      <c r="AH1075" s="17"/>
      <c r="AI1075" s="17"/>
      <c r="AJ1075" s="17"/>
      <c r="AK1075" s="17"/>
      <c r="AL1075" s="19"/>
      <c r="AM1075" s="19"/>
      <c r="AN1075" s="19"/>
      <c r="AO1075" s="19"/>
    </row>
    <row r="1076" spans="16:41" x14ac:dyDescent="0.2">
      <c r="P1076" s="17"/>
      <c r="Q1076" s="17"/>
      <c r="R1076" s="17"/>
      <c r="S1076" s="17"/>
      <c r="T1076" s="17"/>
      <c r="U1076" s="17"/>
      <c r="V1076" s="17"/>
      <c r="W1076" s="17"/>
      <c r="X1076" s="17"/>
      <c r="Y1076" s="17"/>
      <c r="Z1076" s="17"/>
      <c r="AA1076" s="17"/>
      <c r="AB1076" s="17"/>
      <c r="AC1076" s="17"/>
      <c r="AD1076" s="17"/>
      <c r="AE1076" s="17"/>
      <c r="AF1076" s="17"/>
      <c r="AG1076" s="17"/>
      <c r="AH1076" s="17"/>
      <c r="AI1076" s="17"/>
      <c r="AJ1076" s="17"/>
      <c r="AK1076" s="17"/>
      <c r="AL1076" s="19"/>
      <c r="AM1076" s="19"/>
      <c r="AN1076" s="19"/>
      <c r="AO1076" s="19"/>
    </row>
    <row r="1077" spans="16:41" x14ac:dyDescent="0.2">
      <c r="P1077" s="17"/>
      <c r="Q1077" s="17"/>
      <c r="R1077" s="17"/>
      <c r="S1077" s="17"/>
      <c r="T1077" s="17"/>
      <c r="U1077" s="17"/>
      <c r="V1077" s="17"/>
      <c r="W1077" s="17"/>
      <c r="X1077" s="17"/>
      <c r="Y1077" s="17"/>
      <c r="Z1077" s="17"/>
      <c r="AA1077" s="17"/>
      <c r="AB1077" s="17"/>
      <c r="AC1077" s="17"/>
      <c r="AD1077" s="17"/>
      <c r="AE1077" s="17"/>
      <c r="AF1077" s="17"/>
      <c r="AG1077" s="17"/>
      <c r="AH1077" s="17"/>
      <c r="AI1077" s="17"/>
      <c r="AJ1077" s="17"/>
      <c r="AK1077" s="17"/>
      <c r="AL1077" s="19"/>
      <c r="AM1077" s="19"/>
      <c r="AN1077" s="19"/>
      <c r="AO1077" s="19"/>
    </row>
    <row r="1078" spans="16:41" x14ac:dyDescent="0.2">
      <c r="P1078" s="17"/>
      <c r="Q1078" s="17"/>
      <c r="R1078" s="17"/>
      <c r="S1078" s="17"/>
      <c r="T1078" s="17"/>
      <c r="U1078" s="17"/>
      <c r="V1078" s="17"/>
      <c r="W1078" s="17"/>
      <c r="X1078" s="17"/>
      <c r="Y1078" s="17"/>
      <c r="Z1078" s="17"/>
      <c r="AA1078" s="17"/>
      <c r="AB1078" s="17"/>
      <c r="AC1078" s="17"/>
      <c r="AD1078" s="17"/>
      <c r="AE1078" s="17"/>
      <c r="AF1078" s="17"/>
      <c r="AG1078" s="17"/>
      <c r="AH1078" s="17"/>
      <c r="AI1078" s="17"/>
      <c r="AJ1078" s="17"/>
      <c r="AK1078" s="17"/>
      <c r="AL1078" s="19"/>
      <c r="AM1078" s="19"/>
      <c r="AN1078" s="19"/>
      <c r="AO1078" s="19"/>
    </row>
    <row r="1079" spans="16:41" x14ac:dyDescent="0.2">
      <c r="P1079" s="17"/>
      <c r="Q1079" s="17"/>
      <c r="R1079" s="17"/>
      <c r="S1079" s="17"/>
      <c r="T1079" s="17"/>
      <c r="U1079" s="17"/>
      <c r="V1079" s="17"/>
      <c r="W1079" s="17"/>
      <c r="X1079" s="17"/>
      <c r="Y1079" s="17"/>
      <c r="Z1079" s="17"/>
      <c r="AA1079" s="17"/>
      <c r="AB1079" s="17"/>
      <c r="AC1079" s="17"/>
      <c r="AD1079" s="17"/>
      <c r="AE1079" s="17"/>
      <c r="AF1079" s="17"/>
      <c r="AG1079" s="17"/>
      <c r="AH1079" s="17"/>
      <c r="AI1079" s="17"/>
      <c r="AJ1079" s="17"/>
      <c r="AK1079" s="17"/>
      <c r="AL1079" s="19"/>
      <c r="AM1079" s="19"/>
      <c r="AN1079" s="19"/>
      <c r="AO1079" s="19"/>
    </row>
    <row r="1080" spans="16:41" x14ac:dyDescent="0.2">
      <c r="P1080" s="17"/>
      <c r="Q1080" s="17"/>
      <c r="R1080" s="17"/>
      <c r="S1080" s="17"/>
      <c r="T1080" s="17"/>
      <c r="U1080" s="17"/>
      <c r="V1080" s="17"/>
      <c r="W1080" s="17"/>
      <c r="X1080" s="17"/>
      <c r="Y1080" s="17"/>
      <c r="Z1080" s="17"/>
      <c r="AA1080" s="17"/>
      <c r="AB1080" s="17"/>
      <c r="AC1080" s="17"/>
      <c r="AD1080" s="17"/>
      <c r="AE1080" s="17"/>
      <c r="AF1080" s="17"/>
      <c r="AG1080" s="17"/>
      <c r="AH1080" s="17"/>
      <c r="AI1080" s="17"/>
      <c r="AJ1080" s="17"/>
      <c r="AK1080" s="17"/>
      <c r="AL1080" s="19"/>
      <c r="AM1080" s="19"/>
      <c r="AN1080" s="19"/>
      <c r="AO1080" s="19"/>
    </row>
    <row r="1081" spans="16:41" x14ac:dyDescent="0.2">
      <c r="P1081" s="17"/>
      <c r="Q1081" s="17"/>
      <c r="R1081" s="17"/>
      <c r="S1081" s="17"/>
      <c r="T1081" s="17"/>
      <c r="U1081" s="17"/>
      <c r="V1081" s="17"/>
      <c r="W1081" s="17"/>
      <c r="X1081" s="17"/>
      <c r="Y1081" s="17"/>
      <c r="Z1081" s="17"/>
      <c r="AA1081" s="17"/>
      <c r="AB1081" s="17"/>
      <c r="AC1081" s="17"/>
      <c r="AD1081" s="17"/>
      <c r="AE1081" s="17"/>
      <c r="AF1081" s="17"/>
      <c r="AG1081" s="17"/>
      <c r="AH1081" s="17"/>
      <c r="AI1081" s="17"/>
      <c r="AJ1081" s="17"/>
      <c r="AK1081" s="17"/>
      <c r="AL1081" s="19"/>
      <c r="AM1081" s="19"/>
      <c r="AN1081" s="19"/>
      <c r="AO1081" s="19"/>
    </row>
    <row r="1082" spans="16:41" x14ac:dyDescent="0.2">
      <c r="P1082" s="17"/>
      <c r="Q1082" s="17"/>
      <c r="R1082" s="17"/>
      <c r="S1082" s="17"/>
      <c r="T1082" s="17"/>
      <c r="U1082" s="17"/>
      <c r="V1082" s="17"/>
      <c r="W1082" s="17"/>
      <c r="X1082" s="17"/>
      <c r="Y1082" s="17"/>
      <c r="Z1082" s="17"/>
      <c r="AA1082" s="17"/>
      <c r="AB1082" s="17"/>
      <c r="AC1082" s="17"/>
      <c r="AD1082" s="17"/>
      <c r="AE1082" s="17"/>
      <c r="AF1082" s="17"/>
      <c r="AG1082" s="17"/>
      <c r="AH1082" s="17"/>
      <c r="AI1082" s="17"/>
      <c r="AJ1082" s="17"/>
      <c r="AK1082" s="17"/>
      <c r="AL1082" s="19"/>
      <c r="AM1082" s="19"/>
      <c r="AN1082" s="19"/>
      <c r="AO1082" s="19"/>
    </row>
    <row r="1083" spans="16:41" x14ac:dyDescent="0.2">
      <c r="P1083" s="17"/>
      <c r="Q1083" s="17"/>
      <c r="R1083" s="17"/>
      <c r="S1083" s="17"/>
      <c r="T1083" s="17"/>
      <c r="U1083" s="17"/>
      <c r="V1083" s="17"/>
      <c r="W1083" s="17"/>
      <c r="X1083" s="17"/>
      <c r="Y1083" s="17"/>
      <c r="Z1083" s="17"/>
      <c r="AA1083" s="17"/>
      <c r="AB1083" s="17"/>
      <c r="AC1083" s="17"/>
      <c r="AD1083" s="17"/>
      <c r="AE1083" s="17"/>
      <c r="AF1083" s="17"/>
      <c r="AG1083" s="17"/>
      <c r="AH1083" s="17"/>
      <c r="AI1083" s="17"/>
      <c r="AJ1083" s="17"/>
      <c r="AK1083" s="17"/>
      <c r="AL1083" s="19"/>
      <c r="AM1083" s="19"/>
      <c r="AN1083" s="19"/>
      <c r="AO1083" s="19"/>
    </row>
    <row r="1084" spans="16:41" x14ac:dyDescent="0.2">
      <c r="P1084" s="17"/>
      <c r="Q1084" s="17"/>
      <c r="R1084" s="17"/>
      <c r="S1084" s="17"/>
      <c r="T1084" s="17"/>
      <c r="U1084" s="17"/>
      <c r="V1084" s="17"/>
      <c r="W1084" s="17"/>
      <c r="X1084" s="17"/>
      <c r="Y1084" s="17"/>
      <c r="Z1084" s="17"/>
      <c r="AA1084" s="17"/>
      <c r="AB1084" s="17"/>
      <c r="AC1084" s="17"/>
      <c r="AD1084" s="17"/>
      <c r="AE1084" s="17"/>
      <c r="AF1084" s="17"/>
      <c r="AG1084" s="17"/>
      <c r="AH1084" s="17"/>
      <c r="AI1084" s="17"/>
      <c r="AJ1084" s="17"/>
      <c r="AK1084" s="17"/>
      <c r="AL1084" s="19"/>
      <c r="AM1084" s="19"/>
      <c r="AN1084" s="19"/>
      <c r="AO1084" s="19"/>
    </row>
    <row r="1085" spans="16:41" x14ac:dyDescent="0.2">
      <c r="P1085" s="17"/>
      <c r="Q1085" s="17"/>
      <c r="R1085" s="17"/>
      <c r="S1085" s="17"/>
      <c r="T1085" s="17"/>
      <c r="U1085" s="17"/>
      <c r="V1085" s="17"/>
      <c r="W1085" s="17"/>
      <c r="X1085" s="17"/>
      <c r="Y1085" s="17"/>
      <c r="Z1085" s="17"/>
      <c r="AA1085" s="17"/>
      <c r="AB1085" s="17"/>
      <c r="AC1085" s="17"/>
      <c r="AD1085" s="17"/>
      <c r="AE1085" s="17"/>
      <c r="AF1085" s="17"/>
      <c r="AG1085" s="17"/>
      <c r="AH1085" s="17"/>
      <c r="AI1085" s="17"/>
      <c r="AJ1085" s="17"/>
      <c r="AK1085" s="17"/>
      <c r="AL1085" s="19"/>
      <c r="AM1085" s="19"/>
      <c r="AN1085" s="19"/>
      <c r="AO1085" s="19"/>
    </row>
    <row r="1086" spans="16:41" x14ac:dyDescent="0.2">
      <c r="P1086" s="17"/>
      <c r="Q1086" s="17"/>
      <c r="R1086" s="17"/>
      <c r="S1086" s="17"/>
      <c r="T1086" s="17"/>
      <c r="U1086" s="17"/>
      <c r="V1086" s="17"/>
      <c r="W1086" s="17"/>
      <c r="X1086" s="17"/>
      <c r="Y1086" s="17"/>
      <c r="Z1086" s="17"/>
      <c r="AA1086" s="17"/>
      <c r="AB1086" s="17"/>
      <c r="AC1086" s="17"/>
      <c r="AD1086" s="17"/>
      <c r="AE1086" s="17"/>
      <c r="AF1086" s="17"/>
      <c r="AG1086" s="17"/>
      <c r="AH1086" s="17"/>
      <c r="AI1086" s="17"/>
      <c r="AJ1086" s="17"/>
      <c r="AK1086" s="17"/>
      <c r="AL1086" s="19"/>
      <c r="AM1086" s="19"/>
      <c r="AN1086" s="19"/>
      <c r="AO1086" s="19"/>
    </row>
    <row r="1087" spans="16:41" x14ac:dyDescent="0.2">
      <c r="P1087" s="17"/>
      <c r="Q1087" s="17"/>
      <c r="R1087" s="17"/>
      <c r="S1087" s="17"/>
      <c r="T1087" s="17"/>
      <c r="U1087" s="17"/>
      <c r="V1087" s="17"/>
      <c r="W1087" s="17"/>
      <c r="X1087" s="17"/>
      <c r="Y1087" s="17"/>
      <c r="Z1087" s="17"/>
      <c r="AA1087" s="17"/>
      <c r="AB1087" s="17"/>
      <c r="AC1087" s="17"/>
      <c r="AD1087" s="17"/>
      <c r="AE1087" s="17"/>
      <c r="AF1087" s="17"/>
      <c r="AG1087" s="17"/>
      <c r="AH1087" s="17"/>
      <c r="AI1087" s="17"/>
      <c r="AJ1087" s="17"/>
      <c r="AK1087" s="17"/>
      <c r="AL1087" s="19"/>
      <c r="AM1087" s="19"/>
      <c r="AN1087" s="19"/>
      <c r="AO1087" s="19"/>
    </row>
    <row r="1088" spans="16:41" x14ac:dyDescent="0.2">
      <c r="P1088" s="17"/>
      <c r="Q1088" s="17"/>
      <c r="R1088" s="17"/>
      <c r="S1088" s="17"/>
      <c r="T1088" s="17"/>
      <c r="U1088" s="17"/>
      <c r="V1088" s="17"/>
      <c r="W1088" s="17"/>
      <c r="X1088" s="17"/>
      <c r="Y1088" s="17"/>
      <c r="Z1088" s="17"/>
      <c r="AA1088" s="17"/>
      <c r="AB1088" s="17"/>
      <c r="AC1088" s="17"/>
      <c r="AD1088" s="17"/>
      <c r="AE1088" s="17"/>
      <c r="AF1088" s="17"/>
      <c r="AG1088" s="17"/>
      <c r="AH1088" s="17"/>
      <c r="AI1088" s="17"/>
      <c r="AJ1088" s="17"/>
      <c r="AK1088" s="17"/>
      <c r="AL1088" s="19"/>
      <c r="AM1088" s="19"/>
      <c r="AN1088" s="19"/>
      <c r="AO1088" s="19"/>
    </row>
    <row r="1089" spans="16:41" x14ac:dyDescent="0.2">
      <c r="P1089" s="17"/>
      <c r="Q1089" s="17"/>
      <c r="R1089" s="17"/>
      <c r="S1089" s="17"/>
      <c r="T1089" s="17"/>
      <c r="U1089" s="17"/>
      <c r="V1089" s="17"/>
      <c r="W1089" s="17"/>
      <c r="X1089" s="17"/>
      <c r="Y1089" s="17"/>
      <c r="Z1089" s="17"/>
      <c r="AA1089" s="17"/>
      <c r="AB1089" s="17"/>
      <c r="AC1089" s="17"/>
      <c r="AD1089" s="17"/>
      <c r="AE1089" s="17"/>
      <c r="AF1089" s="17"/>
      <c r="AG1089" s="17"/>
      <c r="AH1089" s="17"/>
      <c r="AI1089" s="17"/>
      <c r="AJ1089" s="17"/>
      <c r="AK1089" s="17"/>
      <c r="AL1089" s="19"/>
      <c r="AM1089" s="19"/>
      <c r="AN1089" s="19"/>
      <c r="AO1089" s="19"/>
    </row>
    <row r="1090" spans="16:41" x14ac:dyDescent="0.2">
      <c r="P1090" s="17"/>
      <c r="Q1090" s="17"/>
      <c r="R1090" s="17"/>
      <c r="S1090" s="17"/>
      <c r="T1090" s="17"/>
      <c r="U1090" s="17"/>
      <c r="V1090" s="17"/>
      <c r="W1090" s="17"/>
      <c r="X1090" s="17"/>
      <c r="Y1090" s="17"/>
      <c r="Z1090" s="17"/>
      <c r="AA1090" s="17"/>
      <c r="AB1090" s="17"/>
      <c r="AC1090" s="17"/>
      <c r="AD1090" s="17"/>
      <c r="AE1090" s="17"/>
      <c r="AF1090" s="17"/>
      <c r="AG1090" s="17"/>
      <c r="AH1090" s="17"/>
      <c r="AI1090" s="17"/>
      <c r="AJ1090" s="17"/>
      <c r="AK1090" s="17"/>
      <c r="AL1090" s="19"/>
      <c r="AM1090" s="19"/>
      <c r="AN1090" s="19"/>
      <c r="AO1090" s="19"/>
    </row>
    <row r="1091" spans="16:41" x14ac:dyDescent="0.2">
      <c r="P1091" s="17"/>
      <c r="Q1091" s="17"/>
      <c r="R1091" s="17"/>
      <c r="S1091" s="17"/>
      <c r="T1091" s="17"/>
      <c r="U1091" s="17"/>
      <c r="V1091" s="17"/>
      <c r="W1091" s="17"/>
      <c r="X1091" s="17"/>
      <c r="Y1091" s="17"/>
      <c r="Z1091" s="17"/>
      <c r="AA1091" s="17"/>
      <c r="AB1091" s="17"/>
      <c r="AC1091" s="17"/>
      <c r="AD1091" s="17"/>
      <c r="AE1091" s="17"/>
      <c r="AF1091" s="17"/>
      <c r="AG1091" s="17"/>
      <c r="AH1091" s="17"/>
      <c r="AI1091" s="17"/>
      <c r="AJ1091" s="17"/>
      <c r="AK1091" s="17"/>
      <c r="AL1091" s="19"/>
      <c r="AM1091" s="19"/>
      <c r="AN1091" s="19"/>
      <c r="AO1091" s="19"/>
    </row>
    <row r="1092" spans="16:41" x14ac:dyDescent="0.2">
      <c r="P1092" s="17"/>
      <c r="Q1092" s="17"/>
      <c r="R1092" s="17"/>
      <c r="S1092" s="17"/>
      <c r="T1092" s="17"/>
      <c r="U1092" s="17"/>
      <c r="V1092" s="17"/>
      <c r="W1092" s="17"/>
      <c r="X1092" s="17"/>
      <c r="Y1092" s="17"/>
      <c r="Z1092" s="17"/>
      <c r="AA1092" s="17"/>
      <c r="AB1092" s="17"/>
      <c r="AC1092" s="17"/>
      <c r="AD1092" s="17"/>
      <c r="AE1092" s="17"/>
      <c r="AF1092" s="17"/>
      <c r="AG1092" s="17"/>
      <c r="AH1092" s="17"/>
      <c r="AI1092" s="17"/>
      <c r="AJ1092" s="17"/>
      <c r="AK1092" s="17"/>
      <c r="AL1092" s="19"/>
      <c r="AM1092" s="19"/>
      <c r="AN1092" s="19"/>
      <c r="AO1092" s="19"/>
    </row>
    <row r="1093" spans="16:41" x14ac:dyDescent="0.2">
      <c r="P1093" s="17"/>
      <c r="Q1093" s="17"/>
      <c r="R1093" s="17"/>
      <c r="S1093" s="17"/>
      <c r="T1093" s="17"/>
      <c r="U1093" s="17"/>
      <c r="V1093" s="17"/>
      <c r="W1093" s="17"/>
      <c r="X1093" s="17"/>
      <c r="Y1093" s="17"/>
      <c r="Z1093" s="17"/>
      <c r="AA1093" s="17"/>
      <c r="AB1093" s="17"/>
      <c r="AC1093" s="17"/>
      <c r="AD1093" s="17"/>
      <c r="AE1093" s="17"/>
      <c r="AF1093" s="17"/>
      <c r="AG1093" s="17"/>
      <c r="AH1093" s="17"/>
      <c r="AI1093" s="17"/>
      <c r="AJ1093" s="17"/>
      <c r="AK1093" s="17"/>
      <c r="AL1093" s="19"/>
      <c r="AM1093" s="19"/>
      <c r="AN1093" s="19"/>
      <c r="AO1093" s="19"/>
    </row>
    <row r="1094" spans="16:41" x14ac:dyDescent="0.2">
      <c r="P1094" s="17"/>
      <c r="Q1094" s="17"/>
      <c r="R1094" s="17"/>
      <c r="S1094" s="17"/>
      <c r="T1094" s="17"/>
      <c r="U1094" s="17"/>
      <c r="V1094" s="17"/>
      <c r="W1094" s="17"/>
      <c r="X1094" s="17"/>
      <c r="Y1094" s="17"/>
      <c r="Z1094" s="17"/>
      <c r="AA1094" s="17"/>
      <c r="AB1094" s="17"/>
      <c r="AC1094" s="17"/>
      <c r="AD1094" s="17"/>
      <c r="AE1094" s="17"/>
      <c r="AF1094" s="17"/>
      <c r="AG1094" s="17"/>
      <c r="AH1094" s="17"/>
      <c r="AI1094" s="17"/>
      <c r="AJ1094" s="17"/>
      <c r="AK1094" s="17"/>
      <c r="AL1094" s="19"/>
      <c r="AM1094" s="19"/>
      <c r="AN1094" s="19"/>
      <c r="AO1094" s="19"/>
    </row>
    <row r="1095" spans="16:41" x14ac:dyDescent="0.2">
      <c r="P1095" s="17"/>
      <c r="Q1095" s="17"/>
      <c r="R1095" s="17"/>
      <c r="S1095" s="17"/>
      <c r="T1095" s="17"/>
      <c r="U1095" s="17"/>
      <c r="V1095" s="17"/>
      <c r="W1095" s="17"/>
      <c r="X1095" s="17"/>
      <c r="Y1095" s="17"/>
      <c r="Z1095" s="17"/>
      <c r="AA1095" s="17"/>
      <c r="AB1095" s="17"/>
      <c r="AC1095" s="17"/>
      <c r="AD1095" s="17"/>
      <c r="AE1095" s="17"/>
      <c r="AF1095" s="17"/>
      <c r="AG1095" s="17"/>
      <c r="AH1095" s="17"/>
      <c r="AI1095" s="17"/>
      <c r="AJ1095" s="17"/>
      <c r="AK1095" s="17"/>
      <c r="AL1095" s="19"/>
      <c r="AM1095" s="19"/>
      <c r="AN1095" s="19"/>
      <c r="AO1095" s="19"/>
    </row>
    <row r="1096" spans="16:41" x14ac:dyDescent="0.2">
      <c r="P1096" s="17"/>
      <c r="Q1096" s="17"/>
      <c r="R1096" s="17"/>
      <c r="S1096" s="17"/>
      <c r="T1096" s="17"/>
      <c r="U1096" s="17"/>
      <c r="V1096" s="17"/>
      <c r="W1096" s="17"/>
      <c r="X1096" s="17"/>
      <c r="Y1096" s="17"/>
      <c r="Z1096" s="17"/>
      <c r="AA1096" s="17"/>
      <c r="AB1096" s="17"/>
      <c r="AC1096" s="17"/>
      <c r="AD1096" s="17"/>
      <c r="AE1096" s="17"/>
      <c r="AF1096" s="17"/>
      <c r="AG1096" s="17"/>
      <c r="AH1096" s="17"/>
      <c r="AI1096" s="17"/>
      <c r="AJ1096" s="17"/>
      <c r="AK1096" s="17"/>
      <c r="AL1096" s="19"/>
      <c r="AM1096" s="19"/>
      <c r="AN1096" s="19"/>
      <c r="AO1096" s="19"/>
    </row>
    <row r="1097" spans="16:41" x14ac:dyDescent="0.2">
      <c r="P1097" s="17"/>
      <c r="Q1097" s="17"/>
      <c r="R1097" s="17"/>
      <c r="S1097" s="17"/>
      <c r="T1097" s="17"/>
      <c r="U1097" s="17"/>
      <c r="V1097" s="17"/>
      <c r="W1097" s="17"/>
      <c r="X1097" s="17"/>
      <c r="Y1097" s="17"/>
      <c r="Z1097" s="17"/>
      <c r="AA1097" s="17"/>
      <c r="AB1097" s="17"/>
      <c r="AC1097" s="17"/>
      <c r="AD1097" s="17"/>
      <c r="AE1097" s="17"/>
      <c r="AF1097" s="17"/>
      <c r="AG1097" s="17"/>
      <c r="AH1097" s="17"/>
      <c r="AI1097" s="17"/>
      <c r="AJ1097" s="17"/>
      <c r="AK1097" s="17"/>
      <c r="AL1097" s="19"/>
      <c r="AM1097" s="19"/>
      <c r="AN1097" s="19"/>
      <c r="AO1097" s="19"/>
    </row>
    <row r="1098" spans="16:41" x14ac:dyDescent="0.2">
      <c r="P1098" s="17"/>
      <c r="Q1098" s="17"/>
      <c r="R1098" s="17"/>
      <c r="S1098" s="17"/>
      <c r="T1098" s="17"/>
      <c r="U1098" s="17"/>
      <c r="V1098" s="17"/>
      <c r="W1098" s="17"/>
      <c r="X1098" s="17"/>
      <c r="Y1098" s="17"/>
      <c r="Z1098" s="17"/>
      <c r="AA1098" s="17"/>
      <c r="AB1098" s="17"/>
      <c r="AC1098" s="17"/>
      <c r="AD1098" s="17"/>
      <c r="AE1098" s="17"/>
      <c r="AF1098" s="17"/>
      <c r="AG1098" s="17"/>
      <c r="AH1098" s="17"/>
      <c r="AI1098" s="17"/>
      <c r="AJ1098" s="17"/>
      <c r="AK1098" s="17"/>
      <c r="AL1098" s="19"/>
      <c r="AM1098" s="19"/>
      <c r="AN1098" s="19"/>
      <c r="AO1098" s="19"/>
    </row>
    <row r="1099" spans="16:41" x14ac:dyDescent="0.2">
      <c r="P1099" s="17"/>
      <c r="Q1099" s="17"/>
      <c r="R1099" s="17"/>
      <c r="S1099" s="17"/>
      <c r="T1099" s="17"/>
      <c r="U1099" s="17"/>
      <c r="V1099" s="17"/>
      <c r="W1099" s="17"/>
      <c r="X1099" s="17"/>
      <c r="Y1099" s="17"/>
      <c r="Z1099" s="17"/>
      <c r="AA1099" s="17"/>
      <c r="AB1099" s="17"/>
      <c r="AC1099" s="17"/>
      <c r="AD1099" s="17"/>
      <c r="AE1099" s="17"/>
      <c r="AF1099" s="17"/>
      <c r="AG1099" s="17"/>
      <c r="AH1099" s="17"/>
      <c r="AI1099" s="17"/>
      <c r="AJ1099" s="17"/>
      <c r="AK1099" s="17"/>
      <c r="AL1099" s="19"/>
      <c r="AM1099" s="19"/>
      <c r="AN1099" s="19"/>
      <c r="AO1099" s="19"/>
    </row>
    <row r="1100" spans="16:41" x14ac:dyDescent="0.2">
      <c r="P1100" s="17"/>
      <c r="Q1100" s="17"/>
      <c r="R1100" s="17"/>
      <c r="S1100" s="17"/>
      <c r="T1100" s="17"/>
      <c r="U1100" s="17"/>
      <c r="V1100" s="17"/>
      <c r="W1100" s="17"/>
      <c r="X1100" s="17"/>
      <c r="Y1100" s="17"/>
      <c r="Z1100" s="17"/>
      <c r="AA1100" s="17"/>
      <c r="AB1100" s="17"/>
      <c r="AC1100" s="17"/>
      <c r="AD1100" s="17"/>
      <c r="AE1100" s="17"/>
      <c r="AF1100" s="17"/>
      <c r="AG1100" s="17"/>
      <c r="AH1100" s="17"/>
      <c r="AI1100" s="17"/>
      <c r="AJ1100" s="17"/>
      <c r="AK1100" s="17"/>
      <c r="AL1100" s="19"/>
      <c r="AM1100" s="19"/>
      <c r="AN1100" s="19"/>
      <c r="AO1100" s="19"/>
    </row>
    <row r="1101" spans="16:41" x14ac:dyDescent="0.2">
      <c r="P1101" s="17"/>
      <c r="Q1101" s="17"/>
      <c r="R1101" s="17"/>
      <c r="S1101" s="17"/>
      <c r="T1101" s="17"/>
      <c r="U1101" s="17"/>
      <c r="V1101" s="17"/>
      <c r="W1101" s="17"/>
      <c r="X1101" s="17"/>
      <c r="Y1101" s="17"/>
      <c r="Z1101" s="17"/>
      <c r="AA1101" s="17"/>
      <c r="AB1101" s="17"/>
      <c r="AC1101" s="17"/>
      <c r="AD1101" s="17"/>
      <c r="AE1101" s="17"/>
      <c r="AF1101" s="17"/>
      <c r="AG1101" s="17"/>
      <c r="AH1101" s="17"/>
      <c r="AI1101" s="17"/>
      <c r="AJ1101" s="17"/>
      <c r="AK1101" s="17"/>
      <c r="AL1101" s="19"/>
      <c r="AM1101" s="19"/>
      <c r="AN1101" s="19"/>
      <c r="AO1101" s="19"/>
    </row>
    <row r="1102" spans="16:41" x14ac:dyDescent="0.2">
      <c r="P1102" s="17"/>
      <c r="Q1102" s="17"/>
      <c r="R1102" s="17"/>
      <c r="S1102" s="17"/>
      <c r="T1102" s="17"/>
      <c r="U1102" s="17"/>
      <c r="V1102" s="17"/>
      <c r="W1102" s="17"/>
      <c r="X1102" s="17"/>
      <c r="Y1102" s="17"/>
      <c r="Z1102" s="17"/>
      <c r="AA1102" s="17"/>
      <c r="AB1102" s="17"/>
      <c r="AC1102" s="17"/>
      <c r="AD1102" s="17"/>
      <c r="AE1102" s="17"/>
      <c r="AF1102" s="17"/>
      <c r="AG1102" s="17"/>
      <c r="AH1102" s="17"/>
      <c r="AI1102" s="17"/>
      <c r="AJ1102" s="17"/>
      <c r="AK1102" s="17"/>
      <c r="AL1102" s="19"/>
      <c r="AM1102" s="19"/>
      <c r="AN1102" s="19"/>
      <c r="AO1102" s="19"/>
    </row>
    <row r="1103" spans="16:41" x14ac:dyDescent="0.2">
      <c r="P1103" s="17"/>
      <c r="Q1103" s="17"/>
      <c r="R1103" s="17"/>
      <c r="S1103" s="17"/>
      <c r="T1103" s="17"/>
      <c r="U1103" s="17"/>
      <c r="V1103" s="17"/>
      <c r="W1103" s="17"/>
      <c r="X1103" s="17"/>
      <c r="Y1103" s="17"/>
      <c r="Z1103" s="17"/>
      <c r="AA1103" s="17"/>
      <c r="AB1103" s="17"/>
      <c r="AC1103" s="17"/>
      <c r="AD1103" s="17"/>
      <c r="AE1103" s="17"/>
      <c r="AF1103" s="17"/>
      <c r="AG1103" s="17"/>
      <c r="AH1103" s="17"/>
      <c r="AI1103" s="17"/>
      <c r="AJ1103" s="17"/>
      <c r="AK1103" s="17"/>
      <c r="AL1103" s="19"/>
      <c r="AM1103" s="19"/>
      <c r="AN1103" s="19"/>
      <c r="AO1103" s="19"/>
    </row>
    <row r="1104" spans="16:41" x14ac:dyDescent="0.2">
      <c r="P1104" s="17"/>
      <c r="Q1104" s="17"/>
      <c r="R1104" s="17"/>
      <c r="S1104" s="17"/>
      <c r="T1104" s="17"/>
      <c r="U1104" s="17"/>
      <c r="V1104" s="17"/>
      <c r="W1104" s="17"/>
      <c r="X1104" s="17"/>
      <c r="Y1104" s="17"/>
      <c r="Z1104" s="17"/>
      <c r="AA1104" s="17"/>
      <c r="AB1104" s="17"/>
      <c r="AC1104" s="17"/>
      <c r="AD1104" s="17"/>
      <c r="AE1104" s="17"/>
      <c r="AF1104" s="17"/>
      <c r="AG1104" s="17"/>
      <c r="AH1104" s="17"/>
      <c r="AI1104" s="17"/>
      <c r="AJ1104" s="17"/>
      <c r="AK1104" s="17"/>
      <c r="AL1104" s="19"/>
      <c r="AM1104" s="19"/>
      <c r="AN1104" s="19"/>
      <c r="AO1104" s="19"/>
    </row>
    <row r="1105" spans="16:41" x14ac:dyDescent="0.2">
      <c r="P1105" s="17"/>
      <c r="Q1105" s="17"/>
      <c r="R1105" s="17"/>
      <c r="S1105" s="17"/>
      <c r="T1105" s="17"/>
      <c r="U1105" s="17"/>
      <c r="V1105" s="17"/>
      <c r="W1105" s="17"/>
      <c r="X1105" s="17"/>
      <c r="Y1105" s="17"/>
      <c r="Z1105" s="17"/>
      <c r="AA1105" s="17"/>
      <c r="AB1105" s="17"/>
      <c r="AC1105" s="17"/>
      <c r="AD1105" s="17"/>
      <c r="AE1105" s="17"/>
      <c r="AF1105" s="17"/>
      <c r="AG1105" s="17"/>
      <c r="AH1105" s="17"/>
      <c r="AI1105" s="17"/>
      <c r="AJ1105" s="17"/>
      <c r="AK1105" s="17"/>
      <c r="AL1105" s="19"/>
      <c r="AM1105" s="19"/>
      <c r="AN1105" s="19"/>
      <c r="AO1105" s="19"/>
    </row>
    <row r="1106" spans="16:41" x14ac:dyDescent="0.2">
      <c r="P1106" s="17"/>
      <c r="Q1106" s="17"/>
      <c r="R1106" s="17"/>
      <c r="S1106" s="17"/>
      <c r="T1106" s="17"/>
      <c r="U1106" s="17"/>
      <c r="V1106" s="17"/>
      <c r="W1106" s="17"/>
      <c r="X1106" s="17"/>
      <c r="Y1106" s="17"/>
      <c r="Z1106" s="17"/>
      <c r="AA1106" s="17"/>
      <c r="AB1106" s="17"/>
      <c r="AC1106" s="17"/>
      <c r="AD1106" s="17"/>
      <c r="AE1106" s="17"/>
      <c r="AF1106" s="17"/>
      <c r="AG1106" s="17"/>
      <c r="AH1106" s="17"/>
      <c r="AI1106" s="17"/>
      <c r="AJ1106" s="17"/>
      <c r="AK1106" s="17"/>
      <c r="AL1106" s="19"/>
      <c r="AM1106" s="19"/>
      <c r="AN1106" s="19"/>
      <c r="AO1106" s="19"/>
    </row>
    <row r="1107" spans="16:41" x14ac:dyDescent="0.2">
      <c r="P1107" s="17"/>
      <c r="Q1107" s="17"/>
      <c r="R1107" s="17"/>
      <c r="S1107" s="17"/>
      <c r="T1107" s="17"/>
      <c r="U1107" s="17"/>
      <c r="V1107" s="17"/>
      <c r="W1107" s="17"/>
      <c r="X1107" s="17"/>
      <c r="Y1107" s="17"/>
      <c r="Z1107" s="17"/>
      <c r="AA1107" s="17"/>
      <c r="AB1107" s="17"/>
      <c r="AC1107" s="17"/>
      <c r="AD1107" s="17"/>
      <c r="AE1107" s="17"/>
      <c r="AF1107" s="17"/>
      <c r="AG1107" s="17"/>
      <c r="AH1107" s="17"/>
      <c r="AI1107" s="17"/>
      <c r="AJ1107" s="17"/>
      <c r="AK1107" s="17"/>
      <c r="AL1107" s="19"/>
      <c r="AM1107" s="19"/>
      <c r="AN1107" s="19"/>
      <c r="AO1107" s="19"/>
    </row>
    <row r="1108" spans="16:41" x14ac:dyDescent="0.2">
      <c r="P1108" s="17"/>
      <c r="Q1108" s="17"/>
      <c r="R1108" s="17"/>
      <c r="S1108" s="17"/>
      <c r="T1108" s="17"/>
      <c r="U1108" s="17"/>
      <c r="V1108" s="17"/>
      <c r="W1108" s="17"/>
      <c r="X1108" s="17"/>
      <c r="Y1108" s="17"/>
      <c r="Z1108" s="17"/>
      <c r="AA1108" s="17"/>
      <c r="AB1108" s="17"/>
      <c r="AC1108" s="17"/>
      <c r="AD1108" s="17"/>
      <c r="AE1108" s="17"/>
      <c r="AF1108" s="17"/>
      <c r="AG1108" s="17"/>
      <c r="AH1108" s="17"/>
      <c r="AI1108" s="17"/>
      <c r="AJ1108" s="17"/>
      <c r="AK1108" s="17"/>
      <c r="AL1108" s="19"/>
      <c r="AM1108" s="19"/>
      <c r="AN1108" s="19"/>
      <c r="AO1108" s="19"/>
    </row>
    <row r="1109" spans="16:41" x14ac:dyDescent="0.2">
      <c r="P1109" s="17"/>
      <c r="Q1109" s="17"/>
      <c r="R1109" s="17"/>
      <c r="S1109" s="17"/>
      <c r="T1109" s="17"/>
      <c r="U1109" s="17"/>
      <c r="V1109" s="17"/>
      <c r="W1109" s="17"/>
      <c r="X1109" s="17"/>
      <c r="Y1109" s="17"/>
      <c r="Z1109" s="17"/>
      <c r="AA1109" s="17"/>
      <c r="AB1109" s="17"/>
      <c r="AC1109" s="17"/>
      <c r="AD1109" s="17"/>
      <c r="AE1109" s="17"/>
      <c r="AF1109" s="17"/>
      <c r="AG1109" s="17"/>
      <c r="AH1109" s="17"/>
      <c r="AI1109" s="17"/>
      <c r="AJ1109" s="17"/>
      <c r="AK1109" s="17"/>
      <c r="AL1109" s="19"/>
      <c r="AM1109" s="19"/>
      <c r="AN1109" s="19"/>
      <c r="AO1109" s="19"/>
    </row>
    <row r="1110" spans="16:41" x14ac:dyDescent="0.2">
      <c r="P1110" s="17"/>
      <c r="Q1110" s="17"/>
      <c r="R1110" s="17"/>
      <c r="S1110" s="17"/>
      <c r="T1110" s="17"/>
      <c r="U1110" s="17"/>
      <c r="V1110" s="17"/>
      <c r="W1110" s="17"/>
      <c r="X1110" s="17"/>
      <c r="Y1110" s="17"/>
      <c r="Z1110" s="17"/>
      <c r="AA1110" s="17"/>
      <c r="AB1110" s="17"/>
      <c r="AC1110" s="17"/>
      <c r="AD1110" s="17"/>
      <c r="AE1110" s="17"/>
      <c r="AF1110" s="17"/>
      <c r="AG1110" s="17"/>
      <c r="AH1110" s="17"/>
      <c r="AI1110" s="17"/>
      <c r="AJ1110" s="17"/>
      <c r="AK1110" s="17"/>
      <c r="AL1110" s="19"/>
      <c r="AM1110" s="19"/>
      <c r="AN1110" s="19"/>
      <c r="AO1110" s="19"/>
    </row>
    <row r="1111" spans="16:41" x14ac:dyDescent="0.2">
      <c r="P1111" s="17"/>
      <c r="Q1111" s="17"/>
      <c r="R1111" s="17"/>
      <c r="S1111" s="17"/>
      <c r="T1111" s="17"/>
      <c r="U1111" s="17"/>
      <c r="V1111" s="17"/>
      <c r="W1111" s="17"/>
      <c r="X1111" s="17"/>
      <c r="Y1111" s="17"/>
      <c r="Z1111" s="17"/>
      <c r="AA1111" s="17"/>
      <c r="AB1111" s="17"/>
      <c r="AC1111" s="17"/>
      <c r="AD1111" s="17"/>
      <c r="AE1111" s="17"/>
      <c r="AF1111" s="17"/>
      <c r="AG1111" s="17"/>
      <c r="AH1111" s="17"/>
      <c r="AI1111" s="17"/>
      <c r="AJ1111" s="17"/>
      <c r="AK1111" s="17"/>
      <c r="AL1111" s="19"/>
      <c r="AM1111" s="19"/>
      <c r="AN1111" s="19"/>
      <c r="AO1111" s="19"/>
    </row>
    <row r="1112" spans="16:41" x14ac:dyDescent="0.2">
      <c r="P1112" s="17"/>
      <c r="Q1112" s="17"/>
      <c r="R1112" s="17"/>
      <c r="S1112" s="17"/>
      <c r="T1112" s="17"/>
      <c r="U1112" s="17"/>
      <c r="V1112" s="17"/>
      <c r="W1112" s="17"/>
      <c r="X1112" s="17"/>
      <c r="Y1112" s="17"/>
      <c r="Z1112" s="17"/>
      <c r="AA1112" s="17"/>
      <c r="AB1112" s="17"/>
      <c r="AC1112" s="17"/>
      <c r="AD1112" s="17"/>
      <c r="AE1112" s="17"/>
      <c r="AF1112" s="17"/>
      <c r="AG1112" s="17"/>
      <c r="AH1112" s="17"/>
      <c r="AI1112" s="17"/>
      <c r="AJ1112" s="17"/>
      <c r="AK1112" s="17"/>
      <c r="AL1112" s="19"/>
      <c r="AM1112" s="19"/>
      <c r="AN1112" s="19"/>
      <c r="AO1112" s="19"/>
    </row>
    <row r="1113" spans="16:41" x14ac:dyDescent="0.2">
      <c r="P1113" s="17"/>
      <c r="Q1113" s="17"/>
      <c r="R1113" s="17"/>
      <c r="S1113" s="17"/>
      <c r="T1113" s="17"/>
      <c r="U1113" s="17"/>
      <c r="V1113" s="17"/>
      <c r="W1113" s="17"/>
      <c r="X1113" s="17"/>
      <c r="Y1113" s="17"/>
      <c r="Z1113" s="17"/>
      <c r="AA1113" s="17"/>
      <c r="AB1113" s="17"/>
      <c r="AC1113" s="17"/>
      <c r="AD1113" s="17"/>
      <c r="AE1113" s="17"/>
      <c r="AF1113" s="17"/>
      <c r="AG1113" s="17"/>
      <c r="AH1113" s="17"/>
      <c r="AI1113" s="17"/>
      <c r="AJ1113" s="17"/>
      <c r="AK1113" s="17"/>
      <c r="AL1113" s="19"/>
      <c r="AM1113" s="19"/>
      <c r="AN1113" s="19"/>
      <c r="AO1113" s="19"/>
    </row>
    <row r="1114" spans="16:41" x14ac:dyDescent="0.2">
      <c r="P1114" s="17"/>
      <c r="Q1114" s="17"/>
      <c r="R1114" s="17"/>
      <c r="S1114" s="17"/>
      <c r="T1114" s="17"/>
      <c r="U1114" s="17"/>
      <c r="V1114" s="17"/>
      <c r="W1114" s="17"/>
      <c r="X1114" s="17"/>
      <c r="Y1114" s="17"/>
      <c r="Z1114" s="17"/>
      <c r="AA1114" s="17"/>
      <c r="AB1114" s="17"/>
      <c r="AC1114" s="17"/>
      <c r="AD1114" s="17"/>
      <c r="AE1114" s="17"/>
      <c r="AF1114" s="17"/>
      <c r="AG1114" s="17"/>
      <c r="AH1114" s="17"/>
      <c r="AI1114" s="17"/>
      <c r="AJ1114" s="17"/>
      <c r="AK1114" s="17"/>
      <c r="AL1114" s="19"/>
      <c r="AM1114" s="19"/>
      <c r="AN1114" s="19"/>
      <c r="AO1114" s="19"/>
    </row>
    <row r="1115" spans="16:41" x14ac:dyDescent="0.2">
      <c r="P1115" s="17"/>
      <c r="Q1115" s="17"/>
      <c r="R1115" s="17"/>
      <c r="S1115" s="17"/>
      <c r="T1115" s="17"/>
      <c r="U1115" s="17"/>
      <c r="V1115" s="17"/>
      <c r="W1115" s="17"/>
      <c r="X1115" s="17"/>
      <c r="Y1115" s="17"/>
      <c r="Z1115" s="17"/>
      <c r="AA1115" s="17"/>
      <c r="AB1115" s="17"/>
      <c r="AC1115" s="17"/>
      <c r="AD1115" s="17"/>
      <c r="AE1115" s="17"/>
      <c r="AF1115" s="17"/>
      <c r="AG1115" s="17"/>
      <c r="AH1115" s="17"/>
      <c r="AI1115" s="17"/>
      <c r="AJ1115" s="17"/>
      <c r="AK1115" s="17"/>
      <c r="AL1115" s="19"/>
      <c r="AM1115" s="19"/>
      <c r="AN1115" s="19"/>
      <c r="AO1115" s="19"/>
    </row>
    <row r="1116" spans="16:41" x14ac:dyDescent="0.2">
      <c r="P1116" s="17"/>
      <c r="Q1116" s="17"/>
      <c r="R1116" s="17"/>
      <c r="S1116" s="17"/>
      <c r="T1116" s="17"/>
      <c r="U1116" s="17"/>
      <c r="V1116" s="17"/>
      <c r="W1116" s="17"/>
      <c r="X1116" s="17"/>
      <c r="Y1116" s="17"/>
      <c r="Z1116" s="17"/>
      <c r="AA1116" s="17"/>
      <c r="AB1116" s="17"/>
      <c r="AC1116" s="17"/>
      <c r="AD1116" s="17"/>
      <c r="AE1116" s="17"/>
      <c r="AF1116" s="17"/>
      <c r="AG1116" s="17"/>
      <c r="AH1116" s="17"/>
      <c r="AI1116" s="17"/>
      <c r="AJ1116" s="17"/>
      <c r="AK1116" s="17"/>
      <c r="AL1116" s="19"/>
      <c r="AM1116" s="19"/>
      <c r="AN1116" s="19"/>
      <c r="AO1116" s="19"/>
    </row>
    <row r="1117" spans="16:41" x14ac:dyDescent="0.2">
      <c r="P1117" s="17"/>
      <c r="Q1117" s="17"/>
      <c r="R1117" s="17"/>
      <c r="S1117" s="17"/>
      <c r="T1117" s="17"/>
      <c r="U1117" s="17"/>
      <c r="V1117" s="17"/>
      <c r="W1117" s="17"/>
      <c r="X1117" s="17"/>
      <c r="Y1117" s="17"/>
      <c r="Z1117" s="17"/>
      <c r="AA1117" s="17"/>
      <c r="AB1117" s="17"/>
      <c r="AC1117" s="17"/>
      <c r="AD1117" s="17"/>
      <c r="AE1117" s="17"/>
      <c r="AF1117" s="17"/>
      <c r="AG1117" s="17"/>
      <c r="AH1117" s="17"/>
      <c r="AI1117" s="17"/>
      <c r="AJ1117" s="17"/>
      <c r="AK1117" s="17"/>
      <c r="AL1117" s="19"/>
      <c r="AM1117" s="19"/>
      <c r="AN1117" s="19"/>
      <c r="AO1117" s="19"/>
    </row>
    <row r="1118" spans="16:41" x14ac:dyDescent="0.2">
      <c r="P1118" s="17"/>
      <c r="Q1118" s="17"/>
      <c r="R1118" s="17"/>
      <c r="S1118" s="17"/>
      <c r="T1118" s="17"/>
      <c r="U1118" s="17"/>
      <c r="V1118" s="17"/>
      <c r="W1118" s="17"/>
      <c r="X1118" s="17"/>
      <c r="Y1118" s="17"/>
      <c r="Z1118" s="17"/>
      <c r="AA1118" s="17"/>
      <c r="AB1118" s="17"/>
      <c r="AC1118" s="17"/>
      <c r="AD1118" s="17"/>
      <c r="AE1118" s="17"/>
      <c r="AF1118" s="17"/>
      <c r="AG1118" s="17"/>
      <c r="AH1118" s="17"/>
      <c r="AI1118" s="17"/>
      <c r="AJ1118" s="17"/>
      <c r="AK1118" s="17"/>
      <c r="AL1118" s="19"/>
      <c r="AM1118" s="19"/>
      <c r="AN1118" s="19"/>
      <c r="AO1118" s="19"/>
    </row>
    <row r="1119" spans="16:41" x14ac:dyDescent="0.2">
      <c r="P1119" s="17"/>
      <c r="Y1119" s="17"/>
      <c r="Z1119" s="17"/>
      <c r="AA1119" s="17"/>
      <c r="AB1119" s="17"/>
      <c r="AC1119" s="17"/>
      <c r="AD1119" s="17"/>
      <c r="AE1119" s="17"/>
      <c r="AF1119" s="17"/>
      <c r="AG1119" s="17"/>
      <c r="AH1119" s="17"/>
      <c r="AI1119" s="17"/>
      <c r="AJ1119" s="17"/>
      <c r="AK1119" s="17"/>
      <c r="AL1119" s="19"/>
      <c r="AM1119" s="19"/>
      <c r="AN1119" s="19"/>
      <c r="AO1119" s="19"/>
    </row>
    <row r="1120" spans="16:41" x14ac:dyDescent="0.2">
      <c r="P1120" s="17"/>
      <c r="Y1120" s="17"/>
      <c r="Z1120" s="17"/>
      <c r="AA1120" s="17"/>
      <c r="AB1120" s="17"/>
      <c r="AC1120" s="17"/>
      <c r="AD1120" s="17"/>
      <c r="AE1120" s="17"/>
      <c r="AF1120" s="17"/>
      <c r="AG1120" s="17"/>
      <c r="AH1120" s="17"/>
      <c r="AI1120" s="17"/>
      <c r="AJ1120" s="17"/>
      <c r="AK1120" s="17"/>
      <c r="AL1120" s="19"/>
      <c r="AM1120" s="19"/>
      <c r="AN1120" s="19"/>
      <c r="AO1120" s="19"/>
    </row>
    <row r="1121" spans="16:41" x14ac:dyDescent="0.2">
      <c r="P1121" s="17"/>
      <c r="Y1121" s="17"/>
      <c r="Z1121" s="17"/>
      <c r="AA1121" s="17"/>
      <c r="AB1121" s="17"/>
      <c r="AC1121" s="17"/>
      <c r="AD1121" s="17"/>
      <c r="AE1121" s="17"/>
      <c r="AF1121" s="17"/>
      <c r="AG1121" s="17"/>
      <c r="AH1121" s="17"/>
      <c r="AI1121" s="17"/>
      <c r="AJ1121" s="17"/>
      <c r="AK1121" s="17"/>
      <c r="AL1121" s="19"/>
      <c r="AM1121" s="19"/>
      <c r="AN1121" s="19"/>
      <c r="AO1121" s="19"/>
    </row>
    <row r="1122" spans="16:41" x14ac:dyDescent="0.2">
      <c r="P1122" s="17"/>
      <c r="Y1122" s="17"/>
      <c r="Z1122" s="17"/>
      <c r="AA1122" s="17"/>
      <c r="AB1122" s="17"/>
      <c r="AC1122" s="17"/>
      <c r="AD1122" s="17"/>
      <c r="AE1122" s="17"/>
      <c r="AF1122" s="17"/>
      <c r="AG1122" s="17"/>
      <c r="AH1122" s="17"/>
      <c r="AI1122" s="17"/>
      <c r="AJ1122" s="17"/>
      <c r="AK1122" s="17"/>
      <c r="AL1122" s="19"/>
      <c r="AM1122" s="19"/>
      <c r="AN1122" s="19"/>
      <c r="AO1122" s="19"/>
    </row>
    <row r="1123" spans="16:41" x14ac:dyDescent="0.2">
      <c r="P1123" s="17"/>
      <c r="Y1123" s="17"/>
      <c r="Z1123" s="17"/>
      <c r="AA1123" s="17"/>
      <c r="AB1123" s="17"/>
      <c r="AC1123" s="17"/>
      <c r="AD1123" s="17"/>
      <c r="AE1123" s="17"/>
      <c r="AF1123" s="17"/>
      <c r="AG1123" s="17"/>
      <c r="AH1123" s="17"/>
      <c r="AI1123" s="17"/>
      <c r="AJ1123" s="17"/>
      <c r="AK1123" s="17"/>
      <c r="AL1123" s="19"/>
      <c r="AM1123" s="19"/>
      <c r="AN1123" s="19"/>
      <c r="AO1123" s="19"/>
    </row>
    <row r="1124" spans="16:41" x14ac:dyDescent="0.2">
      <c r="P1124" s="17"/>
      <c r="Y1124" s="17"/>
      <c r="Z1124" s="17"/>
      <c r="AA1124" s="17"/>
      <c r="AB1124" s="17"/>
      <c r="AC1124" s="17"/>
      <c r="AD1124" s="17"/>
      <c r="AE1124" s="17"/>
      <c r="AF1124" s="17"/>
      <c r="AG1124" s="17"/>
      <c r="AH1124" s="17"/>
      <c r="AI1124" s="17"/>
      <c r="AJ1124" s="17"/>
      <c r="AK1124" s="17"/>
      <c r="AL1124" s="19"/>
      <c r="AM1124" s="19"/>
      <c r="AN1124" s="19"/>
      <c r="AO1124" s="19"/>
    </row>
    <row r="1125" spans="16:41" x14ac:dyDescent="0.2">
      <c r="P1125" s="17"/>
      <c r="Y1125" s="17"/>
      <c r="Z1125" s="17"/>
      <c r="AA1125" s="17"/>
      <c r="AB1125" s="17"/>
      <c r="AC1125" s="17"/>
      <c r="AD1125" s="17"/>
      <c r="AE1125" s="17"/>
      <c r="AF1125" s="17"/>
      <c r="AG1125" s="17"/>
      <c r="AH1125" s="17"/>
      <c r="AI1125" s="17"/>
      <c r="AJ1125" s="17"/>
      <c r="AK1125" s="17"/>
      <c r="AL1125" s="19"/>
      <c r="AM1125" s="19"/>
      <c r="AN1125" s="19"/>
      <c r="AO1125" s="19"/>
    </row>
    <row r="1126" spans="16:41" x14ac:dyDescent="0.2">
      <c r="P1126" s="17"/>
      <c r="Y1126" s="17"/>
      <c r="Z1126" s="17"/>
      <c r="AA1126" s="17"/>
      <c r="AB1126" s="17"/>
      <c r="AC1126" s="17"/>
      <c r="AD1126" s="17"/>
      <c r="AE1126" s="17"/>
      <c r="AF1126" s="17"/>
      <c r="AG1126" s="17"/>
      <c r="AH1126" s="17"/>
      <c r="AI1126" s="17"/>
      <c r="AJ1126" s="17"/>
      <c r="AK1126" s="17"/>
      <c r="AL1126" s="19"/>
      <c r="AM1126" s="19"/>
      <c r="AN1126" s="19"/>
      <c r="AO1126" s="19"/>
    </row>
    <row r="1127" spans="16:41" x14ac:dyDescent="0.2">
      <c r="P1127" s="17"/>
      <c r="Y1127" s="17"/>
      <c r="Z1127" s="17"/>
      <c r="AA1127" s="17"/>
      <c r="AB1127" s="17"/>
      <c r="AC1127" s="17"/>
      <c r="AD1127" s="17"/>
      <c r="AE1127" s="17"/>
      <c r="AF1127" s="17"/>
      <c r="AG1127" s="17"/>
      <c r="AH1127" s="17"/>
      <c r="AI1127" s="17"/>
      <c r="AJ1127" s="17"/>
      <c r="AK1127" s="17"/>
      <c r="AL1127" s="19"/>
      <c r="AM1127" s="19"/>
      <c r="AN1127" s="19"/>
      <c r="AO1127" s="19"/>
    </row>
    <row r="1128" spans="16:41" x14ac:dyDescent="0.2">
      <c r="P1128" s="17"/>
      <c r="Y1128" s="17"/>
      <c r="Z1128" s="17"/>
      <c r="AA1128" s="17"/>
      <c r="AB1128" s="17"/>
      <c r="AC1128" s="17"/>
      <c r="AD1128" s="17"/>
      <c r="AE1128" s="17"/>
      <c r="AF1128" s="17"/>
      <c r="AG1128" s="17"/>
      <c r="AH1128" s="17"/>
      <c r="AI1128" s="17"/>
      <c r="AJ1128" s="17"/>
      <c r="AK1128" s="17"/>
      <c r="AL1128" s="19"/>
      <c r="AM1128" s="19"/>
      <c r="AN1128" s="19"/>
      <c r="AO1128" s="19"/>
    </row>
    <row r="1129" spans="16:41" x14ac:dyDescent="0.2">
      <c r="P1129" s="17"/>
      <c r="Y1129" s="17"/>
      <c r="Z1129" s="17"/>
      <c r="AA1129" s="17"/>
      <c r="AB1129" s="17"/>
      <c r="AC1129" s="17"/>
      <c r="AD1129" s="17"/>
      <c r="AE1129" s="17"/>
      <c r="AF1129" s="17"/>
      <c r="AG1129" s="17"/>
      <c r="AH1129" s="17"/>
      <c r="AI1129" s="17"/>
      <c r="AJ1129" s="17"/>
      <c r="AK1129" s="17"/>
      <c r="AL1129" s="19"/>
      <c r="AM1129" s="19"/>
      <c r="AN1129" s="19"/>
      <c r="AO1129" s="19"/>
    </row>
    <row r="1130" spans="16:41" x14ac:dyDescent="0.2">
      <c r="P1130" s="17"/>
      <c r="Y1130" s="17"/>
      <c r="Z1130" s="17"/>
      <c r="AA1130" s="17"/>
      <c r="AB1130" s="17"/>
      <c r="AC1130" s="17"/>
      <c r="AD1130" s="17"/>
      <c r="AE1130" s="17"/>
      <c r="AF1130" s="17"/>
      <c r="AG1130" s="17"/>
      <c r="AH1130" s="17"/>
      <c r="AI1130" s="17"/>
      <c r="AJ1130" s="17"/>
      <c r="AK1130" s="17"/>
      <c r="AL1130" s="19"/>
      <c r="AM1130" s="19"/>
      <c r="AN1130" s="19"/>
      <c r="AO1130" s="19"/>
    </row>
    <row r="1131" spans="16:41" x14ac:dyDescent="0.2">
      <c r="P1131" s="17"/>
      <c r="Y1131" s="17"/>
      <c r="Z1131" s="17"/>
      <c r="AA1131" s="17"/>
      <c r="AB1131" s="17"/>
      <c r="AC1131" s="17"/>
      <c r="AD1131" s="17"/>
      <c r="AE1131" s="17"/>
      <c r="AF1131" s="17"/>
      <c r="AG1131" s="17"/>
      <c r="AH1131" s="17"/>
      <c r="AI1131" s="17"/>
      <c r="AJ1131" s="17"/>
      <c r="AK1131" s="17"/>
      <c r="AL1131" s="19"/>
      <c r="AM1131" s="19"/>
      <c r="AN1131" s="19"/>
      <c r="AO1131" s="19"/>
    </row>
    <row r="1132" spans="16:41" x14ac:dyDescent="0.2">
      <c r="P1132" s="17"/>
      <c r="Y1132" s="17"/>
      <c r="Z1132" s="17"/>
      <c r="AA1132" s="17"/>
      <c r="AB1132" s="17"/>
      <c r="AC1132" s="17"/>
      <c r="AD1132" s="17"/>
      <c r="AE1132" s="17"/>
      <c r="AF1132" s="17"/>
      <c r="AG1132" s="17"/>
      <c r="AH1132" s="17"/>
      <c r="AI1132" s="17"/>
      <c r="AJ1132" s="17"/>
      <c r="AK1132" s="17"/>
      <c r="AL1132" s="19"/>
      <c r="AM1132" s="19"/>
      <c r="AN1132" s="19"/>
      <c r="AO1132" s="19"/>
    </row>
    <row r="1133" spans="16:41" x14ac:dyDescent="0.2">
      <c r="P1133" s="17"/>
      <c r="Y1133" s="17"/>
      <c r="Z1133" s="17"/>
      <c r="AA1133" s="17"/>
      <c r="AB1133" s="17"/>
      <c r="AC1133" s="17"/>
      <c r="AD1133" s="17"/>
      <c r="AE1133" s="17"/>
      <c r="AF1133" s="17"/>
      <c r="AG1133" s="17"/>
      <c r="AH1133" s="17"/>
      <c r="AI1133" s="17"/>
      <c r="AJ1133" s="17"/>
      <c r="AK1133" s="17"/>
      <c r="AL1133" s="19"/>
      <c r="AM1133" s="19"/>
      <c r="AN1133" s="19"/>
      <c r="AO1133" s="19"/>
    </row>
    <row r="1134" spans="16:41" x14ac:dyDescent="0.2">
      <c r="P1134" s="17"/>
      <c r="Y1134" s="17"/>
      <c r="Z1134" s="17"/>
      <c r="AA1134" s="17"/>
      <c r="AB1134" s="17"/>
      <c r="AC1134" s="17"/>
      <c r="AD1134" s="17"/>
      <c r="AE1134" s="17"/>
      <c r="AF1134" s="17"/>
      <c r="AG1134" s="17"/>
      <c r="AH1134" s="17"/>
      <c r="AI1134" s="17"/>
      <c r="AJ1134" s="17"/>
      <c r="AK1134" s="17"/>
      <c r="AL1134" s="19"/>
      <c r="AM1134" s="19"/>
      <c r="AN1134" s="19"/>
      <c r="AO1134" s="19"/>
    </row>
    <row r="1135" spans="16:41" x14ac:dyDescent="0.2">
      <c r="P1135" s="17"/>
      <c r="Y1135" s="17"/>
      <c r="Z1135" s="17"/>
      <c r="AA1135" s="17"/>
      <c r="AB1135" s="17"/>
      <c r="AC1135" s="17"/>
      <c r="AD1135" s="17"/>
      <c r="AE1135" s="17"/>
      <c r="AF1135" s="17"/>
      <c r="AG1135" s="17"/>
      <c r="AH1135" s="17"/>
      <c r="AI1135" s="17"/>
      <c r="AJ1135" s="17"/>
      <c r="AK1135" s="17"/>
      <c r="AL1135" s="19"/>
      <c r="AM1135" s="19"/>
      <c r="AN1135" s="19"/>
      <c r="AO1135" s="19"/>
    </row>
    <row r="1136" spans="16:41" x14ac:dyDescent="0.2">
      <c r="P1136" s="17"/>
      <c r="Y1136" s="17"/>
      <c r="Z1136" s="17"/>
      <c r="AA1136" s="17"/>
      <c r="AB1136" s="17"/>
      <c r="AC1136" s="17"/>
      <c r="AD1136" s="17"/>
      <c r="AE1136" s="17"/>
      <c r="AF1136" s="17"/>
      <c r="AG1136" s="17"/>
      <c r="AH1136" s="17"/>
      <c r="AI1136" s="17"/>
      <c r="AJ1136" s="17"/>
      <c r="AK1136" s="17"/>
      <c r="AL1136" s="19"/>
      <c r="AM1136" s="19"/>
      <c r="AN1136" s="19"/>
      <c r="AO1136" s="19"/>
    </row>
    <row r="1137" spans="16:41" x14ac:dyDescent="0.2">
      <c r="P1137" s="17"/>
      <c r="Y1137" s="17"/>
      <c r="Z1137" s="17"/>
      <c r="AA1137" s="17"/>
      <c r="AB1137" s="17"/>
      <c r="AC1137" s="17"/>
      <c r="AD1137" s="17"/>
      <c r="AE1137" s="17"/>
      <c r="AF1137" s="17"/>
      <c r="AG1137" s="17"/>
      <c r="AH1137" s="17"/>
      <c r="AI1137" s="17"/>
      <c r="AJ1137" s="17"/>
      <c r="AK1137" s="17"/>
      <c r="AL1137" s="19"/>
      <c r="AM1137" s="19"/>
      <c r="AN1137" s="19"/>
      <c r="AO1137" s="19"/>
    </row>
    <row r="1138" spans="16:41" x14ac:dyDescent="0.2">
      <c r="P1138" s="17"/>
      <c r="Y1138" s="17"/>
      <c r="Z1138" s="17"/>
      <c r="AA1138" s="17"/>
      <c r="AB1138" s="17"/>
      <c r="AC1138" s="17"/>
      <c r="AD1138" s="17"/>
      <c r="AE1138" s="17"/>
      <c r="AF1138" s="17"/>
      <c r="AG1138" s="17"/>
      <c r="AH1138" s="17"/>
      <c r="AI1138" s="17"/>
      <c r="AJ1138" s="17"/>
      <c r="AK1138" s="17"/>
      <c r="AL1138" s="19"/>
      <c r="AM1138" s="19"/>
      <c r="AN1138" s="19"/>
      <c r="AO1138" s="19"/>
    </row>
    <row r="1139" spans="16:41" x14ac:dyDescent="0.2">
      <c r="P1139" s="17"/>
      <c r="Q1139" s="17"/>
      <c r="R1139" s="17"/>
      <c r="S1139" s="17"/>
      <c r="T1139" s="17"/>
      <c r="U1139" s="17"/>
      <c r="V1139" s="17"/>
      <c r="W1139" s="17"/>
      <c r="X1139" s="17"/>
      <c r="Y1139" s="17"/>
      <c r="Z1139" s="17"/>
      <c r="AA1139" s="17"/>
      <c r="AB1139" s="17"/>
      <c r="AC1139" s="17"/>
      <c r="AD1139" s="17"/>
      <c r="AE1139" s="17"/>
      <c r="AF1139" s="17"/>
      <c r="AG1139" s="17"/>
      <c r="AH1139" s="17"/>
      <c r="AI1139" s="17"/>
      <c r="AJ1139" s="17"/>
      <c r="AK1139" s="17"/>
      <c r="AL1139" s="19"/>
      <c r="AM1139" s="19"/>
      <c r="AN1139" s="19"/>
      <c r="AO1139" s="19"/>
    </row>
    <row r="1140" spans="16:41" x14ac:dyDescent="0.2">
      <c r="P1140" s="17"/>
      <c r="Q1140" s="17"/>
      <c r="R1140" s="17"/>
      <c r="S1140" s="17"/>
      <c r="T1140" s="17"/>
      <c r="U1140" s="17"/>
      <c r="V1140" s="17"/>
      <c r="W1140" s="17"/>
      <c r="X1140" s="17"/>
      <c r="Y1140" s="17"/>
      <c r="Z1140" s="17"/>
      <c r="AA1140" s="17"/>
      <c r="AB1140" s="17"/>
      <c r="AC1140" s="17"/>
      <c r="AD1140" s="17"/>
      <c r="AE1140" s="17"/>
      <c r="AF1140" s="17"/>
      <c r="AG1140" s="17"/>
      <c r="AH1140" s="17"/>
      <c r="AI1140" s="17"/>
      <c r="AJ1140" s="17"/>
      <c r="AK1140" s="17"/>
      <c r="AL1140" s="19"/>
      <c r="AM1140" s="19"/>
      <c r="AN1140" s="19"/>
      <c r="AO1140" s="19"/>
    </row>
    <row r="1141" spans="16:41" x14ac:dyDescent="0.2">
      <c r="P1141" s="17"/>
      <c r="Q1141" s="17"/>
      <c r="R1141" s="17"/>
      <c r="S1141" s="17"/>
      <c r="T1141" s="17"/>
      <c r="U1141" s="17"/>
      <c r="V1141" s="17"/>
      <c r="W1141" s="17"/>
      <c r="X1141" s="17"/>
      <c r="Y1141" s="17"/>
      <c r="Z1141" s="17"/>
      <c r="AA1141" s="17"/>
      <c r="AB1141" s="17"/>
      <c r="AC1141" s="17"/>
      <c r="AD1141" s="17"/>
      <c r="AE1141" s="17"/>
      <c r="AF1141" s="17"/>
      <c r="AG1141" s="17"/>
      <c r="AH1141" s="17"/>
      <c r="AI1141" s="17"/>
      <c r="AJ1141" s="17"/>
      <c r="AK1141" s="17"/>
      <c r="AL1141" s="19"/>
      <c r="AM1141" s="19"/>
      <c r="AN1141" s="19"/>
      <c r="AO1141" s="19"/>
    </row>
    <row r="1142" spans="16:41" x14ac:dyDescent="0.2">
      <c r="P1142" s="17"/>
      <c r="Q1142" s="17"/>
      <c r="R1142" s="17"/>
      <c r="S1142" s="17"/>
      <c r="T1142" s="17"/>
      <c r="U1142" s="17"/>
      <c r="V1142" s="17"/>
      <c r="W1142" s="17"/>
      <c r="X1142" s="17"/>
      <c r="Y1142" s="17"/>
      <c r="Z1142" s="17"/>
      <c r="AA1142" s="17"/>
      <c r="AB1142" s="17"/>
      <c r="AC1142" s="17"/>
      <c r="AD1142" s="17"/>
      <c r="AE1142" s="17"/>
      <c r="AF1142" s="17"/>
      <c r="AG1142" s="17"/>
      <c r="AH1142" s="17"/>
      <c r="AI1142" s="17"/>
      <c r="AJ1142" s="17"/>
      <c r="AK1142" s="17"/>
      <c r="AL1142" s="19"/>
      <c r="AM1142" s="19"/>
      <c r="AN1142" s="19"/>
      <c r="AO1142" s="19"/>
    </row>
    <row r="1143" spans="16:41" x14ac:dyDescent="0.2">
      <c r="P1143" s="17"/>
      <c r="Q1143" s="17"/>
      <c r="R1143" s="17"/>
      <c r="S1143" s="17"/>
      <c r="T1143" s="17"/>
      <c r="U1143" s="17"/>
      <c r="V1143" s="17"/>
      <c r="W1143" s="17"/>
      <c r="X1143" s="17"/>
      <c r="Y1143" s="17"/>
      <c r="Z1143" s="17"/>
      <c r="AA1143" s="17"/>
      <c r="AB1143" s="17"/>
      <c r="AC1143" s="17"/>
      <c r="AD1143" s="17"/>
      <c r="AE1143" s="17"/>
      <c r="AF1143" s="17"/>
      <c r="AG1143" s="17"/>
      <c r="AH1143" s="17"/>
      <c r="AI1143" s="17"/>
      <c r="AJ1143" s="17"/>
      <c r="AK1143" s="17"/>
      <c r="AL1143" s="19"/>
      <c r="AM1143" s="19"/>
      <c r="AN1143" s="19"/>
      <c r="AO1143" s="19"/>
    </row>
    <row r="1144" spans="16:41" x14ac:dyDescent="0.2">
      <c r="P1144" s="17"/>
      <c r="Q1144" s="17"/>
      <c r="R1144" s="17"/>
      <c r="S1144" s="17"/>
      <c r="T1144" s="17"/>
      <c r="U1144" s="17"/>
      <c r="V1144" s="17"/>
      <c r="W1144" s="17"/>
      <c r="X1144" s="17"/>
      <c r="Y1144" s="17"/>
      <c r="Z1144" s="17"/>
      <c r="AA1144" s="17"/>
      <c r="AB1144" s="17"/>
      <c r="AC1144" s="17"/>
      <c r="AD1144" s="17"/>
      <c r="AE1144" s="17"/>
      <c r="AF1144" s="17"/>
      <c r="AG1144" s="17"/>
      <c r="AH1144" s="17"/>
      <c r="AI1144" s="17"/>
      <c r="AJ1144" s="17"/>
      <c r="AK1144" s="17"/>
      <c r="AL1144" s="19"/>
      <c r="AM1144" s="19"/>
      <c r="AN1144" s="19"/>
      <c r="AO1144" s="19"/>
    </row>
    <row r="1145" spans="16:41" x14ac:dyDescent="0.2">
      <c r="P1145" s="17"/>
      <c r="Q1145" s="17"/>
      <c r="R1145" s="17"/>
      <c r="S1145" s="17"/>
      <c r="T1145" s="17"/>
      <c r="U1145" s="17"/>
      <c r="V1145" s="17"/>
      <c r="W1145" s="17"/>
      <c r="X1145" s="17"/>
      <c r="Y1145" s="17"/>
      <c r="Z1145" s="17"/>
      <c r="AA1145" s="17"/>
      <c r="AB1145" s="17"/>
      <c r="AC1145" s="17"/>
      <c r="AD1145" s="17"/>
      <c r="AE1145" s="17"/>
      <c r="AF1145" s="17"/>
      <c r="AG1145" s="17"/>
      <c r="AH1145" s="17"/>
      <c r="AI1145" s="17"/>
      <c r="AJ1145" s="17"/>
      <c r="AK1145" s="17"/>
      <c r="AL1145" s="19"/>
      <c r="AM1145" s="19"/>
      <c r="AN1145" s="19"/>
      <c r="AO1145" s="19"/>
    </row>
    <row r="1146" spans="16:41" x14ac:dyDescent="0.2">
      <c r="P1146" s="17"/>
      <c r="Q1146" s="17"/>
      <c r="R1146" s="17"/>
      <c r="S1146" s="17"/>
      <c r="T1146" s="17"/>
      <c r="U1146" s="17"/>
      <c r="V1146" s="17"/>
      <c r="W1146" s="17"/>
      <c r="X1146" s="17"/>
      <c r="Y1146" s="17"/>
      <c r="Z1146" s="17"/>
      <c r="AA1146" s="17"/>
      <c r="AB1146" s="17"/>
      <c r="AC1146" s="17"/>
      <c r="AD1146" s="17"/>
      <c r="AE1146" s="17"/>
      <c r="AF1146" s="17"/>
      <c r="AG1146" s="17"/>
      <c r="AH1146" s="17"/>
      <c r="AI1146" s="17"/>
      <c r="AJ1146" s="17"/>
      <c r="AK1146" s="17"/>
      <c r="AL1146" s="19"/>
      <c r="AM1146" s="19"/>
      <c r="AN1146" s="19"/>
      <c r="AO1146" s="19"/>
    </row>
    <row r="1147" spans="16:41" x14ac:dyDescent="0.2">
      <c r="P1147" s="17"/>
      <c r="Q1147" s="17"/>
      <c r="R1147" s="17"/>
      <c r="S1147" s="17"/>
      <c r="T1147" s="17"/>
      <c r="U1147" s="17"/>
      <c r="V1147" s="17"/>
      <c r="W1147" s="17"/>
      <c r="X1147" s="17"/>
      <c r="Y1147" s="17"/>
      <c r="Z1147" s="17"/>
      <c r="AA1147" s="17"/>
      <c r="AB1147" s="17"/>
      <c r="AC1147" s="17"/>
      <c r="AD1147" s="17"/>
      <c r="AE1147" s="17"/>
      <c r="AF1147" s="17"/>
      <c r="AG1147" s="17"/>
      <c r="AH1147" s="17"/>
      <c r="AI1147" s="17"/>
      <c r="AJ1147" s="17"/>
      <c r="AK1147" s="17"/>
      <c r="AL1147" s="19"/>
      <c r="AM1147" s="19"/>
      <c r="AN1147" s="19"/>
      <c r="AO1147" s="19"/>
    </row>
    <row r="1148" spans="16:41" x14ac:dyDescent="0.2">
      <c r="P1148" s="17"/>
      <c r="Q1148" s="17"/>
      <c r="R1148" s="17"/>
      <c r="S1148" s="17"/>
      <c r="T1148" s="17"/>
      <c r="U1148" s="17"/>
      <c r="V1148" s="17"/>
      <c r="W1148" s="17"/>
      <c r="X1148" s="17"/>
      <c r="Y1148" s="17"/>
      <c r="Z1148" s="17"/>
      <c r="AA1148" s="17"/>
      <c r="AB1148" s="17"/>
      <c r="AC1148" s="17"/>
      <c r="AD1148" s="17"/>
      <c r="AE1148" s="17"/>
      <c r="AF1148" s="17"/>
      <c r="AG1148" s="17"/>
      <c r="AH1148" s="17"/>
      <c r="AI1148" s="17"/>
      <c r="AJ1148" s="17"/>
      <c r="AK1148" s="17"/>
      <c r="AL1148" s="19"/>
      <c r="AM1148" s="19"/>
      <c r="AN1148" s="19"/>
      <c r="AO1148" s="19"/>
    </row>
    <row r="1149" spans="16:41" x14ac:dyDescent="0.2">
      <c r="P1149" s="17"/>
      <c r="Q1149" s="17"/>
      <c r="R1149" s="17"/>
      <c r="S1149" s="17"/>
      <c r="T1149" s="17"/>
      <c r="U1149" s="17"/>
      <c r="V1149" s="17"/>
      <c r="W1149" s="17"/>
      <c r="X1149" s="17"/>
      <c r="Y1149" s="17"/>
      <c r="Z1149" s="17"/>
      <c r="AA1149" s="17"/>
      <c r="AB1149" s="17"/>
      <c r="AC1149" s="17"/>
      <c r="AD1149" s="17"/>
      <c r="AE1149" s="17"/>
      <c r="AF1149" s="17"/>
      <c r="AG1149" s="17"/>
      <c r="AH1149" s="17"/>
      <c r="AI1149" s="17"/>
      <c r="AJ1149" s="17"/>
      <c r="AK1149" s="17"/>
      <c r="AL1149" s="19"/>
      <c r="AM1149" s="19"/>
      <c r="AN1149" s="19"/>
      <c r="AO1149" s="19"/>
    </row>
    <row r="1150" spans="16:41" x14ac:dyDescent="0.2">
      <c r="P1150" s="17"/>
      <c r="Q1150" s="17"/>
      <c r="R1150" s="17"/>
      <c r="S1150" s="17"/>
      <c r="T1150" s="17"/>
      <c r="U1150" s="17"/>
      <c r="V1150" s="17"/>
      <c r="W1150" s="17"/>
      <c r="X1150" s="17"/>
      <c r="Y1150" s="17"/>
      <c r="Z1150" s="17"/>
      <c r="AA1150" s="17"/>
      <c r="AB1150" s="17"/>
      <c r="AC1150" s="17"/>
      <c r="AD1150" s="17"/>
      <c r="AE1150" s="17"/>
      <c r="AF1150" s="17"/>
      <c r="AG1150" s="17"/>
      <c r="AH1150" s="17"/>
      <c r="AI1150" s="17"/>
      <c r="AJ1150" s="17"/>
      <c r="AK1150" s="17"/>
      <c r="AL1150" s="19"/>
      <c r="AM1150" s="19"/>
      <c r="AN1150" s="19"/>
      <c r="AO1150" s="19"/>
    </row>
    <row r="1151" spans="16:41" x14ac:dyDescent="0.2">
      <c r="P1151" s="17"/>
      <c r="Q1151" s="17"/>
      <c r="R1151" s="17"/>
      <c r="S1151" s="17"/>
      <c r="T1151" s="17"/>
      <c r="U1151" s="17"/>
      <c r="V1151" s="17"/>
      <c r="W1151" s="17"/>
      <c r="X1151" s="17"/>
      <c r="Y1151" s="17"/>
      <c r="Z1151" s="17"/>
      <c r="AA1151" s="17"/>
      <c r="AB1151" s="17"/>
      <c r="AC1151" s="17"/>
      <c r="AD1151" s="17"/>
      <c r="AE1151" s="17"/>
      <c r="AF1151" s="17"/>
      <c r="AG1151" s="17"/>
      <c r="AH1151" s="17"/>
      <c r="AI1151" s="17"/>
      <c r="AJ1151" s="17"/>
      <c r="AK1151" s="17"/>
      <c r="AL1151" s="19"/>
      <c r="AM1151" s="19"/>
      <c r="AN1151" s="19"/>
      <c r="AO1151" s="19"/>
    </row>
    <row r="1152" spans="16:41" x14ac:dyDescent="0.2">
      <c r="P1152" s="17"/>
      <c r="Q1152" s="17"/>
      <c r="R1152" s="17"/>
      <c r="S1152" s="17"/>
      <c r="T1152" s="17"/>
      <c r="U1152" s="17"/>
      <c r="V1152" s="17"/>
      <c r="W1152" s="17"/>
      <c r="X1152" s="17"/>
      <c r="Y1152" s="17"/>
      <c r="Z1152" s="17"/>
      <c r="AA1152" s="17"/>
      <c r="AB1152" s="17"/>
      <c r="AC1152" s="17"/>
      <c r="AD1152" s="17"/>
      <c r="AE1152" s="17"/>
      <c r="AF1152" s="17"/>
      <c r="AG1152" s="17"/>
      <c r="AH1152" s="17"/>
      <c r="AI1152" s="17"/>
      <c r="AJ1152" s="17"/>
      <c r="AK1152" s="17"/>
      <c r="AL1152" s="19"/>
      <c r="AM1152" s="19"/>
      <c r="AN1152" s="19"/>
      <c r="AO1152" s="19"/>
    </row>
    <row r="1153" spans="16:41" x14ac:dyDescent="0.2">
      <c r="P1153" s="17"/>
      <c r="Q1153" s="17"/>
      <c r="R1153" s="17"/>
      <c r="S1153" s="17"/>
      <c r="T1153" s="17"/>
      <c r="U1153" s="17"/>
      <c r="V1153" s="17"/>
      <c r="W1153" s="17"/>
      <c r="X1153" s="17"/>
      <c r="Y1153" s="17"/>
      <c r="Z1153" s="17"/>
      <c r="AA1153" s="17"/>
      <c r="AB1153" s="17"/>
      <c r="AC1153" s="17"/>
      <c r="AD1153" s="17"/>
      <c r="AE1153" s="17"/>
      <c r="AF1153" s="17"/>
      <c r="AG1153" s="17"/>
      <c r="AH1153" s="17"/>
      <c r="AI1153" s="17"/>
      <c r="AJ1153" s="17"/>
      <c r="AK1153" s="17"/>
      <c r="AL1153" s="19"/>
      <c r="AM1153" s="19"/>
      <c r="AN1153" s="19"/>
      <c r="AO1153" s="19"/>
    </row>
    <row r="1154" spans="16:41" x14ac:dyDescent="0.2">
      <c r="P1154" s="17"/>
      <c r="Q1154" s="17"/>
      <c r="R1154" s="17"/>
      <c r="S1154" s="17"/>
      <c r="T1154" s="17"/>
      <c r="U1154" s="17"/>
      <c r="V1154" s="17"/>
      <c r="W1154" s="17"/>
      <c r="X1154" s="17"/>
      <c r="Y1154" s="17"/>
      <c r="Z1154" s="17"/>
      <c r="AA1154" s="17"/>
      <c r="AB1154" s="17"/>
      <c r="AC1154" s="17"/>
      <c r="AD1154" s="17"/>
      <c r="AE1154" s="17"/>
      <c r="AF1154" s="17"/>
      <c r="AG1154" s="17"/>
      <c r="AH1154" s="17"/>
      <c r="AI1154" s="17"/>
      <c r="AJ1154" s="17"/>
      <c r="AK1154" s="17"/>
      <c r="AL1154" s="19"/>
      <c r="AM1154" s="19"/>
      <c r="AN1154" s="19"/>
      <c r="AO1154" s="19"/>
    </row>
    <row r="1155" spans="16:41" x14ac:dyDescent="0.2">
      <c r="P1155" s="17"/>
      <c r="Q1155" s="17"/>
      <c r="R1155" s="17"/>
      <c r="S1155" s="17"/>
      <c r="T1155" s="17"/>
      <c r="U1155" s="17"/>
      <c r="V1155" s="17"/>
      <c r="W1155" s="17"/>
      <c r="X1155" s="17"/>
      <c r="Y1155" s="17"/>
      <c r="Z1155" s="17"/>
      <c r="AA1155" s="17"/>
      <c r="AB1155" s="17"/>
      <c r="AC1155" s="17"/>
      <c r="AD1155" s="17"/>
      <c r="AE1155" s="17"/>
      <c r="AF1155" s="17"/>
      <c r="AG1155" s="17"/>
      <c r="AH1155" s="17"/>
      <c r="AI1155" s="17"/>
      <c r="AJ1155" s="17"/>
      <c r="AK1155" s="17"/>
      <c r="AL1155" s="19"/>
      <c r="AM1155" s="19"/>
      <c r="AN1155" s="19"/>
      <c r="AO1155" s="19"/>
    </row>
    <row r="1156" spans="16:41" x14ac:dyDescent="0.2">
      <c r="P1156" s="17"/>
      <c r="Q1156" s="17"/>
      <c r="R1156" s="17"/>
      <c r="S1156" s="17"/>
      <c r="T1156" s="17"/>
      <c r="U1156" s="17"/>
      <c r="V1156" s="17"/>
      <c r="W1156" s="17"/>
      <c r="X1156" s="17"/>
      <c r="Y1156" s="17"/>
      <c r="Z1156" s="17"/>
      <c r="AA1156" s="17"/>
      <c r="AB1156" s="17"/>
      <c r="AC1156" s="17"/>
      <c r="AD1156" s="17"/>
      <c r="AE1156" s="17"/>
      <c r="AF1156" s="17"/>
      <c r="AG1156" s="17"/>
      <c r="AH1156" s="17"/>
      <c r="AI1156" s="17"/>
      <c r="AJ1156" s="17"/>
      <c r="AK1156" s="17"/>
      <c r="AL1156" s="19"/>
      <c r="AM1156" s="19"/>
      <c r="AN1156" s="19"/>
      <c r="AO1156" s="19"/>
    </row>
    <row r="1157" spans="16:41" x14ac:dyDescent="0.2">
      <c r="P1157" s="17"/>
      <c r="Q1157" s="17"/>
      <c r="R1157" s="17"/>
      <c r="S1157" s="17"/>
      <c r="T1157" s="17"/>
      <c r="U1157" s="17"/>
      <c r="V1157" s="17"/>
      <c r="W1157" s="17"/>
      <c r="X1157" s="17"/>
      <c r="Y1157" s="17"/>
      <c r="Z1157" s="17"/>
      <c r="AA1157" s="17"/>
      <c r="AB1157" s="17"/>
      <c r="AC1157" s="17"/>
      <c r="AD1157" s="17"/>
      <c r="AE1157" s="17"/>
      <c r="AF1157" s="17"/>
      <c r="AG1157" s="17"/>
      <c r="AH1157" s="17"/>
      <c r="AI1157" s="17"/>
      <c r="AJ1157" s="17"/>
      <c r="AK1157" s="17"/>
      <c r="AL1157" s="19"/>
      <c r="AM1157" s="19"/>
      <c r="AN1157" s="19"/>
      <c r="AO1157" s="19"/>
    </row>
    <row r="1158" spans="16:41" x14ac:dyDescent="0.2">
      <c r="P1158" s="17"/>
      <c r="Q1158" s="17"/>
      <c r="R1158" s="17"/>
      <c r="S1158" s="17"/>
      <c r="T1158" s="17"/>
      <c r="U1158" s="17"/>
      <c r="V1158" s="17"/>
      <c r="W1158" s="17"/>
      <c r="X1158" s="17"/>
      <c r="Y1158" s="17"/>
      <c r="Z1158" s="17"/>
      <c r="AA1158" s="17"/>
      <c r="AB1158" s="17"/>
      <c r="AC1158" s="17"/>
      <c r="AD1158" s="17"/>
      <c r="AE1158" s="17"/>
      <c r="AF1158" s="17"/>
      <c r="AG1158" s="17"/>
      <c r="AH1158" s="17"/>
      <c r="AI1158" s="17"/>
      <c r="AJ1158" s="17"/>
      <c r="AK1158" s="17"/>
      <c r="AL1158" s="19"/>
      <c r="AM1158" s="19"/>
      <c r="AN1158" s="19"/>
      <c r="AO1158" s="19"/>
    </row>
    <row r="1159" spans="16:41" x14ac:dyDescent="0.2">
      <c r="P1159" s="17"/>
      <c r="Q1159" s="17"/>
      <c r="R1159" s="17"/>
      <c r="S1159" s="17"/>
      <c r="T1159" s="17"/>
      <c r="U1159" s="17"/>
      <c r="V1159" s="17"/>
      <c r="W1159" s="17"/>
      <c r="X1159" s="17"/>
      <c r="Y1159" s="17"/>
      <c r="Z1159" s="17"/>
      <c r="AA1159" s="17"/>
      <c r="AB1159" s="17"/>
      <c r="AC1159" s="17"/>
      <c r="AD1159" s="17"/>
      <c r="AE1159" s="17"/>
      <c r="AF1159" s="17"/>
      <c r="AG1159" s="17"/>
      <c r="AH1159" s="17"/>
      <c r="AI1159" s="17"/>
      <c r="AJ1159" s="17"/>
      <c r="AK1159" s="17"/>
      <c r="AL1159" s="19"/>
      <c r="AM1159" s="19"/>
      <c r="AN1159" s="19"/>
      <c r="AO1159" s="19"/>
    </row>
    <row r="1160" spans="16:41" x14ac:dyDescent="0.2">
      <c r="P1160" s="17"/>
      <c r="Q1160" s="17"/>
      <c r="R1160" s="17"/>
      <c r="S1160" s="17"/>
      <c r="T1160" s="17"/>
      <c r="U1160" s="17"/>
      <c r="V1160" s="17"/>
      <c r="W1160" s="17"/>
      <c r="X1160" s="17"/>
      <c r="Y1160" s="17"/>
      <c r="Z1160" s="17"/>
      <c r="AA1160" s="17"/>
      <c r="AB1160" s="17"/>
      <c r="AC1160" s="17"/>
      <c r="AD1160" s="17"/>
      <c r="AE1160" s="17"/>
      <c r="AF1160" s="17"/>
      <c r="AG1160" s="17"/>
      <c r="AH1160" s="17"/>
      <c r="AI1160" s="17"/>
      <c r="AJ1160" s="17"/>
      <c r="AK1160" s="17"/>
      <c r="AL1160" s="19"/>
      <c r="AM1160" s="19"/>
      <c r="AN1160" s="19"/>
      <c r="AO1160" s="19"/>
    </row>
    <row r="1161" spans="16:41" x14ac:dyDescent="0.2">
      <c r="P1161" s="17"/>
      <c r="Q1161" s="17"/>
      <c r="R1161" s="17"/>
      <c r="S1161" s="17"/>
      <c r="T1161" s="17"/>
      <c r="U1161" s="17"/>
      <c r="V1161" s="17"/>
      <c r="W1161" s="17"/>
      <c r="X1161" s="17"/>
      <c r="Y1161" s="17"/>
      <c r="Z1161" s="17"/>
      <c r="AA1161" s="17"/>
      <c r="AB1161" s="17"/>
      <c r="AC1161" s="17"/>
      <c r="AD1161" s="17"/>
      <c r="AE1161" s="17"/>
      <c r="AF1161" s="17"/>
      <c r="AG1161" s="17"/>
      <c r="AH1161" s="17"/>
      <c r="AI1161" s="17"/>
      <c r="AJ1161" s="17"/>
      <c r="AK1161" s="17"/>
      <c r="AL1161" s="19"/>
      <c r="AM1161" s="19"/>
      <c r="AN1161" s="19"/>
      <c r="AO1161" s="19"/>
    </row>
    <row r="1162" spans="16:41" x14ac:dyDescent="0.2">
      <c r="P1162" s="17"/>
      <c r="Q1162" s="17"/>
      <c r="R1162" s="17"/>
      <c r="S1162" s="17"/>
      <c r="T1162" s="17"/>
      <c r="U1162" s="17"/>
      <c r="V1162" s="17"/>
      <c r="W1162" s="17"/>
      <c r="X1162" s="17"/>
      <c r="Y1162" s="17"/>
      <c r="Z1162" s="17"/>
      <c r="AA1162" s="17"/>
      <c r="AB1162" s="17"/>
      <c r="AC1162" s="17"/>
      <c r="AD1162" s="17"/>
      <c r="AE1162" s="17"/>
      <c r="AF1162" s="17"/>
      <c r="AG1162" s="17"/>
      <c r="AH1162" s="17"/>
      <c r="AI1162" s="17"/>
      <c r="AJ1162" s="17"/>
      <c r="AK1162" s="17"/>
      <c r="AL1162" s="19"/>
      <c r="AM1162" s="19"/>
      <c r="AN1162" s="19"/>
      <c r="AO1162" s="19"/>
    </row>
    <row r="1163" spans="16:41" x14ac:dyDescent="0.2">
      <c r="P1163" s="17"/>
      <c r="Q1163" s="17"/>
      <c r="R1163" s="17"/>
      <c r="S1163" s="17"/>
      <c r="T1163" s="17"/>
      <c r="U1163" s="17"/>
      <c r="V1163" s="17"/>
      <c r="W1163" s="17"/>
      <c r="X1163" s="17"/>
      <c r="Y1163" s="17"/>
      <c r="Z1163" s="17"/>
      <c r="AA1163" s="17"/>
      <c r="AB1163" s="17"/>
      <c r="AC1163" s="17"/>
      <c r="AD1163" s="17"/>
      <c r="AE1163" s="17"/>
      <c r="AF1163" s="17"/>
      <c r="AG1163" s="17"/>
      <c r="AH1163" s="17"/>
      <c r="AI1163" s="17"/>
      <c r="AJ1163" s="17"/>
      <c r="AK1163" s="17"/>
      <c r="AL1163" s="19"/>
      <c r="AM1163" s="19"/>
      <c r="AN1163" s="19"/>
      <c r="AO1163" s="19"/>
    </row>
    <row r="1164" spans="16:41" x14ac:dyDescent="0.2">
      <c r="P1164" s="17"/>
      <c r="Q1164" s="17"/>
      <c r="R1164" s="17"/>
      <c r="S1164" s="17"/>
      <c r="T1164" s="17"/>
      <c r="U1164" s="17"/>
      <c r="V1164" s="17"/>
      <c r="W1164" s="17"/>
      <c r="X1164" s="17"/>
      <c r="Y1164" s="17"/>
      <c r="Z1164" s="17"/>
      <c r="AA1164" s="17"/>
      <c r="AB1164" s="17"/>
      <c r="AC1164" s="17"/>
      <c r="AD1164" s="17"/>
      <c r="AE1164" s="17"/>
      <c r="AF1164" s="17"/>
      <c r="AG1164" s="17"/>
      <c r="AH1164" s="17"/>
      <c r="AI1164" s="17"/>
      <c r="AJ1164" s="17"/>
      <c r="AK1164" s="17"/>
      <c r="AL1164" s="19"/>
      <c r="AM1164" s="19"/>
      <c r="AN1164" s="19"/>
      <c r="AO1164" s="19"/>
    </row>
    <row r="1165" spans="16:41" x14ac:dyDescent="0.2">
      <c r="P1165" s="17"/>
      <c r="Q1165" s="17"/>
      <c r="R1165" s="17"/>
      <c r="S1165" s="17"/>
      <c r="T1165" s="17"/>
      <c r="U1165" s="17"/>
      <c r="V1165" s="17"/>
      <c r="W1165" s="17"/>
      <c r="X1165" s="17"/>
      <c r="Y1165" s="17"/>
      <c r="Z1165" s="17"/>
      <c r="AA1165" s="17"/>
      <c r="AB1165" s="17"/>
      <c r="AC1165" s="17"/>
      <c r="AD1165" s="17"/>
      <c r="AE1165" s="17"/>
      <c r="AF1165" s="17"/>
      <c r="AG1165" s="17"/>
      <c r="AH1165" s="17"/>
      <c r="AI1165" s="17"/>
      <c r="AJ1165" s="17"/>
      <c r="AK1165" s="17"/>
      <c r="AL1165" s="19"/>
      <c r="AM1165" s="19"/>
      <c r="AN1165" s="19"/>
      <c r="AO1165" s="19"/>
    </row>
    <row r="1166" spans="16:41" x14ac:dyDescent="0.2">
      <c r="P1166" s="17"/>
      <c r="Q1166" s="17"/>
      <c r="R1166" s="17"/>
      <c r="S1166" s="17"/>
      <c r="T1166" s="17"/>
      <c r="U1166" s="17"/>
      <c r="V1166" s="17"/>
      <c r="W1166" s="17"/>
      <c r="X1166" s="17"/>
      <c r="Y1166" s="17"/>
      <c r="Z1166" s="17"/>
      <c r="AA1166" s="17"/>
      <c r="AB1166" s="17"/>
      <c r="AC1166" s="17"/>
      <c r="AD1166" s="17"/>
      <c r="AE1166" s="17"/>
      <c r="AF1166" s="17"/>
      <c r="AG1166" s="17"/>
      <c r="AH1166" s="17"/>
      <c r="AI1166" s="17"/>
      <c r="AJ1166" s="17"/>
      <c r="AK1166" s="17"/>
      <c r="AL1166" s="19"/>
      <c r="AM1166" s="19"/>
      <c r="AN1166" s="19"/>
      <c r="AO1166" s="19"/>
    </row>
    <row r="1167" spans="16:41" x14ac:dyDescent="0.2">
      <c r="P1167" s="17"/>
      <c r="Q1167" s="17"/>
      <c r="R1167" s="17"/>
      <c r="S1167" s="17"/>
      <c r="T1167" s="17"/>
      <c r="U1167" s="17"/>
      <c r="V1167" s="17"/>
      <c r="W1167" s="17"/>
      <c r="X1167" s="17"/>
      <c r="Y1167" s="17"/>
      <c r="Z1167" s="17"/>
      <c r="AA1167" s="17"/>
      <c r="AB1167" s="17"/>
      <c r="AC1167" s="17"/>
      <c r="AD1167" s="17"/>
      <c r="AE1167" s="17"/>
      <c r="AF1167" s="17"/>
      <c r="AG1167" s="17"/>
      <c r="AH1167" s="17"/>
      <c r="AI1167" s="17"/>
      <c r="AJ1167" s="17"/>
      <c r="AK1167" s="17"/>
      <c r="AL1167" s="19"/>
      <c r="AM1167" s="19"/>
      <c r="AN1167" s="19"/>
      <c r="AO1167" s="19"/>
    </row>
    <row r="1168" spans="16:41" x14ac:dyDescent="0.2">
      <c r="P1168" s="17"/>
      <c r="Q1168" s="17"/>
      <c r="R1168" s="17"/>
      <c r="S1168" s="17"/>
      <c r="T1168" s="17"/>
      <c r="U1168" s="17"/>
      <c r="V1168" s="17"/>
      <c r="W1168" s="17"/>
      <c r="X1168" s="17"/>
      <c r="Y1168" s="17"/>
      <c r="Z1168" s="17"/>
      <c r="AA1168" s="17"/>
      <c r="AB1168" s="17"/>
      <c r="AC1168" s="17"/>
      <c r="AD1168" s="17"/>
      <c r="AE1168" s="17"/>
      <c r="AF1168" s="17"/>
      <c r="AG1168" s="17"/>
      <c r="AH1168" s="17"/>
      <c r="AI1168" s="17"/>
      <c r="AJ1168" s="17"/>
      <c r="AK1168" s="17"/>
      <c r="AL1168" s="19"/>
      <c r="AM1168" s="19"/>
      <c r="AN1168" s="19"/>
      <c r="AO1168" s="19"/>
    </row>
    <row r="1169" spans="16:41" x14ac:dyDescent="0.2">
      <c r="P1169" s="17"/>
      <c r="Q1169" s="17"/>
      <c r="R1169" s="17"/>
      <c r="S1169" s="17"/>
      <c r="T1169" s="17"/>
      <c r="U1169" s="17"/>
      <c r="V1169" s="17"/>
      <c r="W1169" s="17"/>
      <c r="X1169" s="17"/>
      <c r="Y1169" s="17"/>
      <c r="Z1169" s="17"/>
      <c r="AA1169" s="17"/>
      <c r="AB1169" s="17"/>
      <c r="AC1169" s="17"/>
      <c r="AD1169" s="17"/>
      <c r="AE1169" s="17"/>
      <c r="AF1169" s="17"/>
      <c r="AG1169" s="17"/>
      <c r="AH1169" s="17"/>
      <c r="AI1169" s="17"/>
      <c r="AJ1169" s="17"/>
      <c r="AK1169" s="17"/>
      <c r="AL1169" s="19"/>
      <c r="AM1169" s="19"/>
      <c r="AN1169" s="19"/>
      <c r="AO1169" s="19"/>
    </row>
    <row r="1170" spans="16:41" x14ac:dyDescent="0.2">
      <c r="P1170" s="17"/>
      <c r="Q1170" s="17"/>
      <c r="R1170" s="17"/>
      <c r="S1170" s="17"/>
      <c r="T1170" s="17"/>
      <c r="U1170" s="17"/>
      <c r="V1170" s="17"/>
      <c r="W1170" s="17"/>
      <c r="X1170" s="17"/>
      <c r="Y1170" s="17"/>
      <c r="Z1170" s="17"/>
      <c r="AA1170" s="17"/>
      <c r="AB1170" s="17"/>
      <c r="AC1170" s="17"/>
      <c r="AD1170" s="17"/>
      <c r="AE1170" s="17"/>
      <c r="AF1170" s="17"/>
      <c r="AG1170" s="17"/>
      <c r="AH1170" s="17"/>
      <c r="AI1170" s="17"/>
      <c r="AJ1170" s="17"/>
      <c r="AK1170" s="17"/>
      <c r="AL1170" s="19"/>
      <c r="AM1170" s="19"/>
      <c r="AN1170" s="19"/>
      <c r="AO1170" s="19"/>
    </row>
    <row r="1171" spans="16:41" x14ac:dyDescent="0.2">
      <c r="P1171" s="17"/>
      <c r="Q1171" s="17"/>
      <c r="R1171" s="17"/>
      <c r="S1171" s="17"/>
      <c r="T1171" s="17"/>
      <c r="U1171" s="17"/>
      <c r="V1171" s="17"/>
      <c r="W1171" s="17"/>
      <c r="X1171" s="17"/>
      <c r="Y1171" s="17"/>
      <c r="Z1171" s="17"/>
      <c r="AA1171" s="17"/>
      <c r="AB1171" s="17"/>
      <c r="AC1171" s="17"/>
      <c r="AD1171" s="17"/>
      <c r="AE1171" s="17"/>
      <c r="AF1171" s="17"/>
      <c r="AG1171" s="17"/>
      <c r="AH1171" s="17"/>
      <c r="AI1171" s="17"/>
      <c r="AJ1171" s="17"/>
      <c r="AK1171" s="17"/>
      <c r="AL1171" s="19"/>
      <c r="AM1171" s="19"/>
      <c r="AN1171" s="19"/>
      <c r="AO1171" s="19"/>
    </row>
    <row r="1172" spans="16:41" x14ac:dyDescent="0.2">
      <c r="P1172" s="17"/>
      <c r="Q1172" s="17"/>
      <c r="R1172" s="17"/>
      <c r="S1172" s="17"/>
      <c r="T1172" s="17"/>
      <c r="U1172" s="17"/>
      <c r="V1172" s="17"/>
      <c r="W1172" s="17"/>
      <c r="X1172" s="17"/>
      <c r="Y1172" s="17"/>
      <c r="Z1172" s="17"/>
      <c r="AA1172" s="17"/>
      <c r="AB1172" s="17"/>
      <c r="AC1172" s="17"/>
      <c r="AD1172" s="17"/>
      <c r="AE1172" s="17"/>
      <c r="AF1172" s="17"/>
      <c r="AG1172" s="17"/>
      <c r="AH1172" s="17"/>
      <c r="AI1172" s="17"/>
      <c r="AJ1172" s="17"/>
      <c r="AK1172" s="17"/>
      <c r="AL1172" s="19"/>
      <c r="AM1172" s="19"/>
      <c r="AN1172" s="19"/>
      <c r="AO1172" s="19"/>
    </row>
    <row r="1173" spans="16:41" x14ac:dyDescent="0.2">
      <c r="P1173" s="17"/>
      <c r="Q1173" s="17"/>
      <c r="R1173" s="17"/>
      <c r="S1173" s="17"/>
      <c r="T1173" s="17"/>
      <c r="U1173" s="17"/>
      <c r="V1173" s="17"/>
      <c r="W1173" s="17"/>
      <c r="X1173" s="17"/>
      <c r="Y1173" s="17"/>
      <c r="Z1173" s="17"/>
      <c r="AA1173" s="17"/>
      <c r="AB1173" s="17"/>
      <c r="AC1173" s="17"/>
      <c r="AD1173" s="17"/>
      <c r="AE1173" s="17"/>
      <c r="AF1173" s="17"/>
      <c r="AG1173" s="17"/>
      <c r="AH1173" s="17"/>
      <c r="AI1173" s="17"/>
      <c r="AJ1173" s="17"/>
      <c r="AK1173" s="17"/>
      <c r="AL1173" s="19"/>
      <c r="AM1173" s="19"/>
      <c r="AN1173" s="19"/>
      <c r="AO1173" s="19"/>
    </row>
    <row r="1174" spans="16:41" x14ac:dyDescent="0.2">
      <c r="P1174" s="17"/>
      <c r="Q1174" s="17"/>
      <c r="R1174" s="17"/>
      <c r="S1174" s="17"/>
      <c r="T1174" s="17"/>
      <c r="U1174" s="17"/>
      <c r="V1174" s="17"/>
      <c r="W1174" s="17"/>
      <c r="X1174" s="17"/>
      <c r="Y1174" s="17"/>
      <c r="Z1174" s="17"/>
      <c r="AA1174" s="17"/>
      <c r="AB1174" s="17"/>
      <c r="AC1174" s="17"/>
      <c r="AD1174" s="17"/>
      <c r="AE1174" s="17"/>
      <c r="AF1174" s="17"/>
      <c r="AG1174" s="17"/>
      <c r="AH1174" s="17"/>
      <c r="AI1174" s="17"/>
      <c r="AJ1174" s="17"/>
      <c r="AK1174" s="17"/>
      <c r="AL1174" s="19"/>
      <c r="AM1174" s="19"/>
      <c r="AN1174" s="19"/>
      <c r="AO1174" s="19"/>
    </row>
    <row r="1175" spans="16:41" x14ac:dyDescent="0.2">
      <c r="P1175" s="17"/>
      <c r="Q1175" s="17"/>
      <c r="R1175" s="17"/>
      <c r="S1175" s="17"/>
      <c r="T1175" s="17"/>
      <c r="U1175" s="17"/>
      <c r="V1175" s="17"/>
      <c r="W1175" s="17"/>
      <c r="X1175" s="17"/>
      <c r="Y1175" s="17"/>
      <c r="Z1175" s="17"/>
      <c r="AA1175" s="17"/>
      <c r="AB1175" s="17"/>
      <c r="AC1175" s="17"/>
      <c r="AD1175" s="17"/>
      <c r="AE1175" s="17"/>
      <c r="AF1175" s="17"/>
      <c r="AG1175" s="17"/>
      <c r="AH1175" s="17"/>
      <c r="AI1175" s="17"/>
      <c r="AJ1175" s="17"/>
      <c r="AK1175" s="17"/>
      <c r="AL1175" s="19"/>
      <c r="AM1175" s="19"/>
      <c r="AN1175" s="19"/>
      <c r="AO1175" s="19"/>
    </row>
    <row r="1176" spans="16:41" x14ac:dyDescent="0.2">
      <c r="P1176" s="17"/>
      <c r="Q1176" s="17"/>
      <c r="R1176" s="17"/>
      <c r="S1176" s="17"/>
      <c r="T1176" s="17"/>
      <c r="U1176" s="17"/>
      <c r="V1176" s="17"/>
      <c r="W1176" s="17"/>
      <c r="X1176" s="17"/>
      <c r="Y1176" s="17"/>
      <c r="Z1176" s="17"/>
      <c r="AA1176" s="17"/>
      <c r="AB1176" s="17"/>
      <c r="AC1176" s="17"/>
      <c r="AD1176" s="17"/>
      <c r="AE1176" s="17"/>
      <c r="AF1176" s="17"/>
      <c r="AG1176" s="17"/>
      <c r="AH1176" s="17"/>
      <c r="AI1176" s="17"/>
      <c r="AJ1176" s="17"/>
      <c r="AK1176" s="17"/>
      <c r="AL1176" s="19"/>
      <c r="AM1176" s="19"/>
      <c r="AN1176" s="19"/>
      <c r="AO1176" s="19"/>
    </row>
    <row r="1177" spans="16:41" x14ac:dyDescent="0.2">
      <c r="P1177" s="17"/>
      <c r="Q1177" s="17"/>
      <c r="R1177" s="17"/>
      <c r="S1177" s="17"/>
      <c r="T1177" s="17"/>
      <c r="U1177" s="17"/>
      <c r="V1177" s="17"/>
      <c r="W1177" s="17"/>
      <c r="X1177" s="17"/>
      <c r="Y1177" s="17"/>
      <c r="Z1177" s="17"/>
      <c r="AA1177" s="17"/>
      <c r="AB1177" s="17"/>
      <c r="AC1177" s="17"/>
      <c r="AD1177" s="17"/>
      <c r="AE1177" s="17"/>
      <c r="AF1177" s="17"/>
      <c r="AG1177" s="17"/>
      <c r="AH1177" s="17"/>
      <c r="AI1177" s="17"/>
      <c r="AJ1177" s="17"/>
      <c r="AK1177" s="17"/>
      <c r="AL1177" s="19"/>
      <c r="AM1177" s="19"/>
      <c r="AN1177" s="19"/>
      <c r="AO1177" s="19"/>
    </row>
    <row r="1178" spans="16:41" x14ac:dyDescent="0.2">
      <c r="P1178" s="17"/>
      <c r="Q1178" s="17"/>
      <c r="R1178" s="17"/>
      <c r="S1178" s="17"/>
      <c r="T1178" s="17"/>
      <c r="U1178" s="17"/>
      <c r="V1178" s="17"/>
      <c r="W1178" s="17"/>
      <c r="X1178" s="17"/>
      <c r="Y1178" s="17"/>
      <c r="Z1178" s="17"/>
      <c r="AA1178" s="17"/>
      <c r="AB1178" s="17"/>
      <c r="AC1178" s="17"/>
      <c r="AD1178" s="17"/>
      <c r="AE1178" s="17"/>
      <c r="AF1178" s="17"/>
      <c r="AG1178" s="17"/>
      <c r="AH1178" s="17"/>
      <c r="AI1178" s="17"/>
      <c r="AJ1178" s="17"/>
      <c r="AK1178" s="17"/>
      <c r="AL1178" s="19"/>
      <c r="AM1178" s="19"/>
      <c r="AN1178" s="19"/>
      <c r="AO1178" s="19"/>
    </row>
    <row r="1179" spans="16:41" x14ac:dyDescent="0.2">
      <c r="P1179" s="17"/>
      <c r="Y1179" s="17"/>
      <c r="Z1179" s="17"/>
      <c r="AA1179" s="17"/>
      <c r="AB1179" s="17"/>
      <c r="AC1179" s="17"/>
      <c r="AD1179" s="17"/>
      <c r="AE1179" s="17"/>
      <c r="AF1179" s="17"/>
      <c r="AG1179" s="17"/>
      <c r="AH1179" s="17"/>
      <c r="AI1179" s="17"/>
      <c r="AJ1179" s="17"/>
      <c r="AK1179" s="17"/>
      <c r="AL1179" s="19"/>
      <c r="AM1179" s="19"/>
      <c r="AN1179" s="19"/>
      <c r="AO1179" s="19"/>
    </row>
    <row r="1180" spans="16:41" x14ac:dyDescent="0.2">
      <c r="P1180" s="17"/>
      <c r="Y1180" s="17"/>
      <c r="Z1180" s="17"/>
      <c r="AA1180" s="17"/>
      <c r="AB1180" s="17"/>
      <c r="AC1180" s="17"/>
      <c r="AD1180" s="17"/>
      <c r="AE1180" s="17"/>
      <c r="AF1180" s="17"/>
      <c r="AG1180" s="17"/>
      <c r="AH1180" s="17"/>
      <c r="AI1180" s="17"/>
      <c r="AJ1180" s="17"/>
      <c r="AK1180" s="17"/>
      <c r="AL1180" s="19"/>
      <c r="AM1180" s="19"/>
      <c r="AN1180" s="19"/>
      <c r="AO1180" s="19"/>
    </row>
    <row r="1181" spans="16:41" x14ac:dyDescent="0.2">
      <c r="P1181" s="17"/>
      <c r="Y1181" s="17"/>
      <c r="Z1181" s="17"/>
      <c r="AA1181" s="17"/>
      <c r="AB1181" s="17"/>
      <c r="AC1181" s="17"/>
      <c r="AD1181" s="17"/>
      <c r="AE1181" s="17"/>
      <c r="AF1181" s="17"/>
      <c r="AG1181" s="17"/>
      <c r="AH1181" s="17"/>
      <c r="AI1181" s="17"/>
      <c r="AJ1181" s="17"/>
      <c r="AK1181" s="17"/>
      <c r="AL1181" s="19"/>
      <c r="AM1181" s="19"/>
      <c r="AN1181" s="19"/>
      <c r="AO1181" s="19"/>
    </row>
    <row r="1182" spans="16:41" x14ac:dyDescent="0.2">
      <c r="P1182" s="17"/>
      <c r="Y1182" s="17"/>
      <c r="Z1182" s="17"/>
      <c r="AA1182" s="17"/>
      <c r="AB1182" s="17"/>
      <c r="AC1182" s="17"/>
      <c r="AD1182" s="17"/>
      <c r="AE1182" s="17"/>
      <c r="AF1182" s="17"/>
      <c r="AG1182" s="17"/>
      <c r="AH1182" s="17"/>
      <c r="AI1182" s="17"/>
      <c r="AJ1182" s="17"/>
      <c r="AK1182" s="17"/>
      <c r="AL1182" s="19"/>
      <c r="AM1182" s="19"/>
      <c r="AN1182" s="19"/>
      <c r="AO1182" s="19"/>
    </row>
    <row r="1183" spans="16:41" x14ac:dyDescent="0.2">
      <c r="P1183" s="17"/>
      <c r="Y1183" s="17"/>
      <c r="Z1183" s="17"/>
      <c r="AA1183" s="17"/>
      <c r="AB1183" s="17"/>
      <c r="AC1183" s="17"/>
      <c r="AD1183" s="17"/>
      <c r="AE1183" s="17"/>
      <c r="AF1183" s="17"/>
      <c r="AG1183" s="17"/>
      <c r="AH1183" s="17"/>
      <c r="AI1183" s="17"/>
      <c r="AJ1183" s="17"/>
      <c r="AK1183" s="17"/>
      <c r="AL1183" s="19"/>
      <c r="AM1183" s="19"/>
      <c r="AN1183" s="19"/>
      <c r="AO1183" s="19"/>
    </row>
    <row r="1184" spans="16:41" x14ac:dyDescent="0.2">
      <c r="P1184" s="17"/>
      <c r="Y1184" s="17"/>
      <c r="Z1184" s="17"/>
      <c r="AA1184" s="17"/>
      <c r="AB1184" s="17"/>
      <c r="AC1184" s="17"/>
      <c r="AD1184" s="17"/>
      <c r="AE1184" s="17"/>
      <c r="AF1184" s="17"/>
      <c r="AG1184" s="17"/>
      <c r="AH1184" s="17"/>
      <c r="AI1184" s="17"/>
      <c r="AJ1184" s="17"/>
      <c r="AK1184" s="17"/>
      <c r="AL1184" s="19"/>
      <c r="AM1184" s="19"/>
      <c r="AN1184" s="19"/>
      <c r="AO1184" s="19"/>
    </row>
    <row r="1185" spans="16:41" x14ac:dyDescent="0.2">
      <c r="P1185" s="17"/>
      <c r="Y1185" s="17"/>
      <c r="Z1185" s="17"/>
      <c r="AA1185" s="17"/>
      <c r="AB1185" s="17"/>
      <c r="AC1185" s="17"/>
      <c r="AD1185" s="17"/>
      <c r="AE1185" s="17"/>
      <c r="AF1185" s="17"/>
      <c r="AG1185" s="17"/>
      <c r="AH1185" s="17"/>
      <c r="AI1185" s="17"/>
      <c r="AJ1185" s="17"/>
      <c r="AK1185" s="17"/>
      <c r="AL1185" s="19"/>
      <c r="AM1185" s="19"/>
      <c r="AN1185" s="19"/>
      <c r="AO1185" s="19"/>
    </row>
    <row r="1186" spans="16:41" x14ac:dyDescent="0.2">
      <c r="P1186" s="17"/>
      <c r="Y1186" s="17"/>
      <c r="Z1186" s="17"/>
      <c r="AA1186" s="17"/>
      <c r="AB1186" s="17"/>
      <c r="AC1186" s="17"/>
      <c r="AD1186" s="17"/>
      <c r="AE1186" s="17"/>
      <c r="AF1186" s="17"/>
      <c r="AG1186" s="17"/>
      <c r="AH1186" s="17"/>
      <c r="AI1186" s="17"/>
      <c r="AJ1186" s="17"/>
      <c r="AK1186" s="17"/>
      <c r="AL1186" s="19"/>
      <c r="AM1186" s="19"/>
      <c r="AN1186" s="19"/>
      <c r="AO1186" s="19"/>
    </row>
    <row r="1187" spans="16:41" x14ac:dyDescent="0.2">
      <c r="P1187" s="17"/>
      <c r="Y1187" s="17"/>
      <c r="Z1187" s="17"/>
      <c r="AA1187" s="17"/>
      <c r="AB1187" s="17"/>
      <c r="AC1187" s="17"/>
      <c r="AD1187" s="17"/>
      <c r="AE1187" s="17"/>
      <c r="AF1187" s="17"/>
      <c r="AG1187" s="17"/>
      <c r="AH1187" s="17"/>
      <c r="AI1187" s="17"/>
      <c r="AJ1187" s="17"/>
      <c r="AK1187" s="17"/>
      <c r="AL1187" s="19"/>
      <c r="AM1187" s="19"/>
      <c r="AN1187" s="19"/>
      <c r="AO1187" s="19"/>
    </row>
    <row r="1188" spans="16:41" x14ac:dyDescent="0.2">
      <c r="P1188" s="17"/>
      <c r="Y1188" s="17"/>
      <c r="Z1188" s="17"/>
      <c r="AA1188" s="17"/>
      <c r="AB1188" s="17"/>
      <c r="AC1188" s="17"/>
      <c r="AD1188" s="17"/>
      <c r="AE1188" s="17"/>
      <c r="AF1188" s="17"/>
      <c r="AG1188" s="17"/>
      <c r="AH1188" s="17"/>
      <c r="AI1188" s="17"/>
      <c r="AJ1188" s="17"/>
      <c r="AK1188" s="17"/>
      <c r="AL1188" s="19"/>
      <c r="AM1188" s="19"/>
      <c r="AN1188" s="19"/>
      <c r="AO1188" s="19"/>
    </row>
    <row r="1189" spans="16:41" x14ac:dyDescent="0.2">
      <c r="P1189" s="17"/>
      <c r="Y1189" s="17"/>
      <c r="Z1189" s="17"/>
      <c r="AA1189" s="17"/>
      <c r="AB1189" s="17"/>
      <c r="AC1189" s="17"/>
      <c r="AD1189" s="17"/>
      <c r="AE1189" s="17"/>
      <c r="AF1189" s="17"/>
      <c r="AG1189" s="17"/>
      <c r="AH1189" s="17"/>
      <c r="AI1189" s="17"/>
      <c r="AJ1189" s="17"/>
      <c r="AK1189" s="17"/>
      <c r="AL1189" s="19"/>
      <c r="AM1189" s="19"/>
      <c r="AN1189" s="19"/>
      <c r="AO1189" s="19"/>
    </row>
    <row r="1190" spans="16:41" x14ac:dyDescent="0.2">
      <c r="P1190" s="17"/>
      <c r="Y1190" s="17"/>
      <c r="Z1190" s="17"/>
      <c r="AA1190" s="17"/>
      <c r="AB1190" s="17"/>
      <c r="AC1190" s="17"/>
      <c r="AD1190" s="17"/>
      <c r="AE1190" s="17"/>
      <c r="AF1190" s="17"/>
      <c r="AG1190" s="17"/>
      <c r="AH1190" s="17"/>
      <c r="AI1190" s="17"/>
      <c r="AJ1190" s="17"/>
      <c r="AK1190" s="17"/>
      <c r="AL1190" s="19"/>
      <c r="AM1190" s="19"/>
      <c r="AN1190" s="19"/>
      <c r="AO1190" s="19"/>
    </row>
    <row r="1191" spans="16:41" x14ac:dyDescent="0.2">
      <c r="P1191" s="17"/>
      <c r="Y1191" s="17"/>
      <c r="Z1191" s="17"/>
      <c r="AA1191" s="17"/>
      <c r="AB1191" s="17"/>
      <c r="AC1191" s="17"/>
      <c r="AD1191" s="17"/>
      <c r="AE1191" s="17"/>
      <c r="AF1191" s="17"/>
      <c r="AG1191" s="17"/>
      <c r="AH1191" s="17"/>
      <c r="AI1191" s="17"/>
      <c r="AJ1191" s="17"/>
      <c r="AK1191" s="17"/>
      <c r="AL1191" s="19"/>
      <c r="AM1191" s="19"/>
      <c r="AN1191" s="19"/>
      <c r="AO1191" s="19"/>
    </row>
    <row r="1192" spans="16:41" x14ac:dyDescent="0.2">
      <c r="P1192" s="17"/>
      <c r="Y1192" s="17"/>
      <c r="Z1192" s="17"/>
      <c r="AA1192" s="17"/>
      <c r="AB1192" s="17"/>
      <c r="AC1192" s="17"/>
      <c r="AD1192" s="17"/>
      <c r="AE1192" s="17"/>
      <c r="AF1192" s="17"/>
      <c r="AG1192" s="17"/>
      <c r="AH1192" s="17"/>
      <c r="AI1192" s="17"/>
      <c r="AJ1192" s="17"/>
      <c r="AK1192" s="17"/>
      <c r="AL1192" s="19"/>
      <c r="AM1192" s="19"/>
      <c r="AN1192" s="19"/>
      <c r="AO1192" s="19"/>
    </row>
    <row r="1193" spans="16:41" x14ac:dyDescent="0.2">
      <c r="P1193" s="17"/>
      <c r="Y1193" s="17"/>
      <c r="Z1193" s="17"/>
      <c r="AA1193" s="17"/>
      <c r="AB1193" s="17"/>
      <c r="AC1193" s="17"/>
      <c r="AD1193" s="17"/>
      <c r="AE1193" s="17"/>
      <c r="AF1193" s="17"/>
      <c r="AG1193" s="17"/>
      <c r="AH1193" s="17"/>
      <c r="AI1193" s="17"/>
      <c r="AJ1193" s="17"/>
      <c r="AK1193" s="17"/>
      <c r="AL1193" s="19"/>
      <c r="AM1193" s="19"/>
      <c r="AN1193" s="19"/>
      <c r="AO1193" s="19"/>
    </row>
    <row r="1194" spans="16:41" x14ac:dyDescent="0.2">
      <c r="P1194" s="17"/>
      <c r="Y1194" s="17"/>
      <c r="Z1194" s="17"/>
      <c r="AA1194" s="17"/>
      <c r="AB1194" s="17"/>
      <c r="AC1194" s="17"/>
      <c r="AD1194" s="17"/>
      <c r="AE1194" s="17"/>
      <c r="AF1194" s="17"/>
      <c r="AG1194" s="17"/>
      <c r="AH1194" s="17"/>
      <c r="AI1194" s="17"/>
      <c r="AJ1194" s="17"/>
      <c r="AK1194" s="17"/>
      <c r="AL1194" s="19"/>
      <c r="AM1194" s="19"/>
      <c r="AN1194" s="19"/>
      <c r="AO1194" s="19"/>
    </row>
    <row r="1195" spans="16:41" x14ac:dyDescent="0.2">
      <c r="P1195" s="17"/>
      <c r="Y1195" s="17"/>
      <c r="Z1195" s="17"/>
      <c r="AA1195" s="17"/>
      <c r="AB1195" s="17"/>
      <c r="AC1195" s="17"/>
      <c r="AD1195" s="17"/>
      <c r="AE1195" s="17"/>
      <c r="AF1195" s="17"/>
      <c r="AG1195" s="17"/>
      <c r="AH1195" s="17"/>
      <c r="AI1195" s="17"/>
      <c r="AJ1195" s="17"/>
      <c r="AK1195" s="17"/>
      <c r="AL1195" s="19"/>
      <c r="AM1195" s="19"/>
      <c r="AN1195" s="19"/>
      <c r="AO1195" s="19"/>
    </row>
    <row r="1196" spans="16:41" x14ac:dyDescent="0.2">
      <c r="P1196" s="17"/>
      <c r="Y1196" s="17"/>
      <c r="Z1196" s="17"/>
      <c r="AA1196" s="17"/>
      <c r="AB1196" s="17"/>
      <c r="AC1196" s="17"/>
      <c r="AD1196" s="17"/>
      <c r="AE1196" s="17"/>
      <c r="AF1196" s="17"/>
      <c r="AG1196" s="17"/>
      <c r="AH1196" s="17"/>
      <c r="AI1196" s="17"/>
      <c r="AJ1196" s="17"/>
      <c r="AK1196" s="17"/>
      <c r="AL1196" s="19"/>
      <c r="AM1196" s="19"/>
      <c r="AN1196" s="19"/>
      <c r="AO1196" s="19"/>
    </row>
    <row r="1197" spans="16:41" x14ac:dyDescent="0.2">
      <c r="P1197" s="17"/>
      <c r="Y1197" s="17"/>
      <c r="Z1197" s="17"/>
      <c r="AA1197" s="17"/>
      <c r="AB1197" s="17"/>
      <c r="AC1197" s="17"/>
      <c r="AD1197" s="17"/>
      <c r="AE1197" s="17"/>
      <c r="AF1197" s="17"/>
      <c r="AG1197" s="17"/>
      <c r="AH1197" s="17"/>
      <c r="AI1197" s="17"/>
      <c r="AJ1197" s="17"/>
      <c r="AK1197" s="17"/>
      <c r="AL1197" s="19"/>
      <c r="AM1197" s="19"/>
      <c r="AN1197" s="19"/>
      <c r="AO1197" s="19"/>
    </row>
    <row r="1198" spans="16:41" x14ac:dyDescent="0.2">
      <c r="P1198" s="17"/>
      <c r="Y1198" s="17"/>
      <c r="Z1198" s="17"/>
      <c r="AA1198" s="17"/>
      <c r="AB1198" s="17"/>
      <c r="AC1198" s="17"/>
      <c r="AD1198" s="17"/>
      <c r="AE1198" s="17"/>
      <c r="AF1198" s="17"/>
      <c r="AG1198" s="17"/>
      <c r="AH1198" s="17"/>
      <c r="AI1198" s="17"/>
      <c r="AJ1198" s="17"/>
      <c r="AK1198" s="17"/>
      <c r="AL1198" s="19"/>
      <c r="AM1198" s="19"/>
      <c r="AN1198" s="19"/>
      <c r="AO1198" s="19"/>
    </row>
    <row r="1199" spans="16:41" x14ac:dyDescent="0.2">
      <c r="P1199" s="17"/>
      <c r="Y1199" s="17"/>
      <c r="Z1199" s="17"/>
      <c r="AA1199" s="17"/>
      <c r="AB1199" s="17"/>
      <c r="AC1199" s="17"/>
      <c r="AD1199" s="17"/>
      <c r="AE1199" s="17"/>
      <c r="AF1199" s="17"/>
      <c r="AG1199" s="17"/>
      <c r="AH1199" s="17"/>
      <c r="AI1199" s="17"/>
      <c r="AJ1199" s="17"/>
      <c r="AK1199" s="17"/>
      <c r="AL1199" s="19"/>
      <c r="AM1199" s="19"/>
      <c r="AN1199" s="19"/>
      <c r="AO1199" s="19"/>
    </row>
    <row r="1200" spans="16:41" x14ac:dyDescent="0.2">
      <c r="P1200" s="17"/>
      <c r="Q1200" s="17"/>
      <c r="R1200" s="17"/>
      <c r="S1200" s="17"/>
      <c r="T1200" s="17"/>
      <c r="U1200" s="17"/>
      <c r="V1200" s="17"/>
      <c r="W1200" s="17"/>
      <c r="X1200" s="17"/>
      <c r="Y1200" s="17"/>
      <c r="Z1200" s="17"/>
      <c r="AA1200" s="17"/>
      <c r="AB1200" s="17"/>
      <c r="AC1200" s="17"/>
      <c r="AD1200" s="17"/>
      <c r="AE1200" s="17"/>
      <c r="AF1200" s="17"/>
      <c r="AG1200" s="17"/>
      <c r="AH1200" s="17"/>
      <c r="AI1200" s="17"/>
      <c r="AJ1200" s="17"/>
      <c r="AK1200" s="17"/>
      <c r="AL1200" s="19"/>
      <c r="AM1200" s="19"/>
      <c r="AN1200" s="19"/>
      <c r="AO1200" s="19"/>
    </row>
    <row r="1201" spans="16:41" x14ac:dyDescent="0.2">
      <c r="P1201" s="17"/>
      <c r="Q1201" s="17"/>
      <c r="R1201" s="17"/>
      <c r="S1201" s="17"/>
      <c r="T1201" s="17"/>
      <c r="U1201" s="17"/>
      <c r="V1201" s="17"/>
      <c r="W1201" s="17"/>
      <c r="X1201" s="17"/>
      <c r="Y1201" s="17"/>
      <c r="Z1201" s="17"/>
      <c r="AA1201" s="17"/>
      <c r="AB1201" s="17"/>
      <c r="AC1201" s="17"/>
      <c r="AD1201" s="17"/>
      <c r="AE1201" s="17"/>
      <c r="AF1201" s="17"/>
      <c r="AG1201" s="17"/>
      <c r="AH1201" s="17"/>
      <c r="AI1201" s="17"/>
      <c r="AJ1201" s="17"/>
      <c r="AK1201" s="17"/>
      <c r="AL1201" s="19"/>
      <c r="AM1201" s="19"/>
      <c r="AN1201" s="19"/>
      <c r="AO1201" s="19"/>
    </row>
    <row r="1202" spans="16:41" x14ac:dyDescent="0.2">
      <c r="P1202" s="17"/>
      <c r="Q1202" s="17"/>
      <c r="R1202" s="17"/>
      <c r="S1202" s="17"/>
      <c r="T1202" s="17"/>
      <c r="U1202" s="17"/>
      <c r="V1202" s="17"/>
      <c r="W1202" s="17"/>
      <c r="X1202" s="17"/>
      <c r="Y1202" s="17"/>
      <c r="Z1202" s="17"/>
      <c r="AA1202" s="17"/>
      <c r="AB1202" s="17"/>
      <c r="AC1202" s="17"/>
      <c r="AD1202" s="17"/>
      <c r="AE1202" s="17"/>
      <c r="AF1202" s="17"/>
      <c r="AG1202" s="17"/>
      <c r="AH1202" s="17"/>
      <c r="AI1202" s="17"/>
      <c r="AJ1202" s="17"/>
      <c r="AK1202" s="17"/>
      <c r="AL1202" s="19"/>
      <c r="AM1202" s="19"/>
      <c r="AN1202" s="19"/>
      <c r="AO1202" s="19"/>
    </row>
    <row r="1203" spans="16:41" x14ac:dyDescent="0.2">
      <c r="P1203" s="17"/>
      <c r="Q1203" s="17"/>
      <c r="R1203" s="17"/>
      <c r="S1203" s="17"/>
      <c r="T1203" s="17"/>
      <c r="U1203" s="17"/>
      <c r="V1203" s="17"/>
      <c r="W1203" s="17"/>
      <c r="X1203" s="17"/>
      <c r="Y1203" s="17"/>
      <c r="Z1203" s="17"/>
      <c r="AA1203" s="17"/>
      <c r="AB1203" s="17"/>
      <c r="AC1203" s="17"/>
      <c r="AD1203" s="17"/>
      <c r="AE1203" s="17"/>
      <c r="AF1203" s="17"/>
      <c r="AG1203" s="17"/>
      <c r="AH1203" s="17"/>
      <c r="AI1203" s="17"/>
      <c r="AJ1203" s="17"/>
      <c r="AK1203" s="17"/>
      <c r="AL1203" s="19"/>
      <c r="AM1203" s="19"/>
      <c r="AN1203" s="19"/>
      <c r="AO1203" s="19"/>
    </row>
    <row r="1204" spans="16:41" x14ac:dyDescent="0.2">
      <c r="P1204" s="17"/>
      <c r="Q1204" s="17"/>
      <c r="R1204" s="17"/>
      <c r="S1204" s="17"/>
      <c r="T1204" s="17"/>
      <c r="U1204" s="17"/>
      <c r="V1204" s="17"/>
      <c r="W1204" s="17"/>
      <c r="X1204" s="17"/>
      <c r="Y1204" s="17"/>
      <c r="Z1204" s="17"/>
      <c r="AA1204" s="17"/>
      <c r="AB1204" s="17"/>
      <c r="AC1204" s="17"/>
      <c r="AD1204" s="17"/>
      <c r="AE1204" s="17"/>
      <c r="AF1204" s="17"/>
      <c r="AG1204" s="17"/>
      <c r="AH1204" s="17"/>
      <c r="AI1204" s="17"/>
      <c r="AJ1204" s="17"/>
      <c r="AK1204" s="17"/>
      <c r="AL1204" s="19"/>
      <c r="AM1204" s="19"/>
      <c r="AN1204" s="19"/>
      <c r="AO1204" s="19"/>
    </row>
    <row r="1205" spans="16:41" x14ac:dyDescent="0.2">
      <c r="P1205" s="17"/>
      <c r="Q1205" s="17"/>
      <c r="R1205" s="17"/>
      <c r="S1205" s="17"/>
      <c r="T1205" s="17"/>
      <c r="U1205" s="17"/>
      <c r="V1205" s="17"/>
      <c r="W1205" s="17"/>
      <c r="X1205" s="17"/>
      <c r="Y1205" s="17"/>
      <c r="Z1205" s="17"/>
      <c r="AA1205" s="17"/>
      <c r="AB1205" s="17"/>
      <c r="AC1205" s="17"/>
      <c r="AD1205" s="17"/>
      <c r="AE1205" s="17"/>
      <c r="AF1205" s="17"/>
      <c r="AG1205" s="17"/>
      <c r="AH1205" s="17"/>
      <c r="AI1205" s="17"/>
      <c r="AJ1205" s="17"/>
      <c r="AK1205" s="17"/>
      <c r="AL1205" s="19"/>
      <c r="AM1205" s="19"/>
      <c r="AN1205" s="19"/>
      <c r="AO1205" s="19"/>
    </row>
    <row r="1206" spans="16:41" x14ac:dyDescent="0.2">
      <c r="P1206" s="17"/>
      <c r="Q1206" s="17"/>
      <c r="R1206" s="17"/>
      <c r="S1206" s="17"/>
      <c r="T1206" s="17"/>
      <c r="U1206" s="17"/>
      <c r="V1206" s="17"/>
      <c r="W1206" s="17"/>
      <c r="X1206" s="17"/>
      <c r="Y1206" s="17"/>
      <c r="Z1206" s="17"/>
      <c r="AA1206" s="17"/>
      <c r="AB1206" s="17"/>
      <c r="AC1206" s="17"/>
      <c r="AD1206" s="17"/>
      <c r="AE1206" s="17"/>
      <c r="AF1206" s="17"/>
      <c r="AG1206" s="17"/>
      <c r="AH1206" s="17"/>
      <c r="AI1206" s="17"/>
      <c r="AJ1206" s="17"/>
      <c r="AK1206" s="17"/>
      <c r="AL1206" s="19"/>
      <c r="AM1206" s="19"/>
      <c r="AN1206" s="19"/>
      <c r="AO1206" s="19"/>
    </row>
    <row r="1207" spans="16:41" x14ac:dyDescent="0.2">
      <c r="P1207" s="17"/>
      <c r="Q1207" s="17"/>
      <c r="R1207" s="17"/>
      <c r="S1207" s="17"/>
      <c r="T1207" s="17"/>
      <c r="U1207" s="17"/>
      <c r="V1207" s="17"/>
      <c r="W1207" s="17"/>
      <c r="X1207" s="17"/>
      <c r="Y1207" s="17"/>
      <c r="Z1207" s="17"/>
      <c r="AA1207" s="17"/>
      <c r="AB1207" s="17"/>
      <c r="AC1207" s="17"/>
      <c r="AD1207" s="17"/>
      <c r="AE1207" s="17"/>
      <c r="AF1207" s="17"/>
      <c r="AG1207" s="17"/>
      <c r="AH1207" s="17"/>
      <c r="AI1207" s="17"/>
      <c r="AJ1207" s="17"/>
      <c r="AK1207" s="17"/>
      <c r="AL1207" s="19"/>
      <c r="AM1207" s="19"/>
      <c r="AN1207" s="19"/>
      <c r="AO1207" s="19"/>
    </row>
    <row r="1208" spans="16:41" x14ac:dyDescent="0.2">
      <c r="P1208" s="17"/>
      <c r="Q1208" s="17"/>
      <c r="R1208" s="17"/>
      <c r="S1208" s="17"/>
      <c r="T1208" s="17"/>
      <c r="U1208" s="17"/>
      <c r="V1208" s="17"/>
      <c r="W1208" s="17"/>
      <c r="X1208" s="17"/>
      <c r="Y1208" s="17"/>
      <c r="Z1208" s="17"/>
      <c r="AA1208" s="17"/>
      <c r="AB1208" s="17"/>
      <c r="AC1208" s="17"/>
      <c r="AD1208" s="17"/>
      <c r="AE1208" s="17"/>
      <c r="AF1208" s="17"/>
      <c r="AG1208" s="17"/>
      <c r="AH1208" s="17"/>
      <c r="AI1208" s="17"/>
      <c r="AJ1208" s="17"/>
      <c r="AK1208" s="17"/>
      <c r="AL1208" s="19"/>
      <c r="AM1208" s="19"/>
      <c r="AN1208" s="19"/>
      <c r="AO1208" s="19"/>
    </row>
    <row r="1209" spans="16:41" x14ac:dyDescent="0.2">
      <c r="P1209" s="17"/>
      <c r="Q1209" s="17"/>
      <c r="R1209" s="17"/>
      <c r="S1209" s="17"/>
      <c r="T1209" s="17"/>
      <c r="U1209" s="17"/>
      <c r="V1209" s="17"/>
      <c r="W1209" s="17"/>
      <c r="X1209" s="17"/>
      <c r="Y1209" s="17"/>
      <c r="Z1209" s="17"/>
      <c r="AA1209" s="17"/>
      <c r="AB1209" s="17"/>
      <c r="AC1209" s="17"/>
      <c r="AD1209" s="17"/>
      <c r="AE1209" s="17"/>
      <c r="AF1209" s="17"/>
      <c r="AG1209" s="17"/>
      <c r="AH1209" s="17"/>
      <c r="AI1209" s="17"/>
      <c r="AJ1209" s="17"/>
      <c r="AK1209" s="17"/>
      <c r="AL1209" s="19"/>
      <c r="AM1209" s="19"/>
      <c r="AN1209" s="19"/>
      <c r="AO1209" s="19"/>
    </row>
    <row r="1210" spans="16:41" x14ac:dyDescent="0.2">
      <c r="P1210" s="17"/>
      <c r="Q1210" s="17"/>
      <c r="R1210" s="17"/>
      <c r="S1210" s="17"/>
      <c r="T1210" s="17"/>
      <c r="U1210" s="17"/>
      <c r="V1210" s="17"/>
      <c r="W1210" s="17"/>
      <c r="X1210" s="17"/>
      <c r="Y1210" s="17"/>
      <c r="Z1210" s="17"/>
      <c r="AA1210" s="17"/>
      <c r="AB1210" s="17"/>
      <c r="AC1210" s="17"/>
      <c r="AD1210" s="17"/>
      <c r="AE1210" s="17"/>
      <c r="AF1210" s="17"/>
      <c r="AG1210" s="17"/>
      <c r="AH1210" s="17"/>
      <c r="AI1210" s="17"/>
      <c r="AJ1210" s="17"/>
      <c r="AK1210" s="17"/>
      <c r="AL1210" s="19"/>
      <c r="AM1210" s="19"/>
      <c r="AN1210" s="19"/>
      <c r="AO1210" s="19"/>
    </row>
    <row r="1211" spans="16:41" x14ac:dyDescent="0.2">
      <c r="P1211" s="17"/>
      <c r="Q1211" s="17"/>
      <c r="R1211" s="17"/>
      <c r="S1211" s="17"/>
      <c r="T1211" s="17"/>
      <c r="U1211" s="17"/>
      <c r="V1211" s="17"/>
      <c r="W1211" s="17"/>
      <c r="X1211" s="17"/>
      <c r="Y1211" s="17"/>
      <c r="Z1211" s="17"/>
      <c r="AA1211" s="17"/>
      <c r="AB1211" s="17"/>
      <c r="AC1211" s="17"/>
      <c r="AD1211" s="17"/>
      <c r="AE1211" s="17"/>
      <c r="AF1211" s="17"/>
      <c r="AG1211" s="17"/>
      <c r="AH1211" s="17"/>
      <c r="AI1211" s="17"/>
      <c r="AJ1211" s="17"/>
      <c r="AK1211" s="17"/>
      <c r="AL1211" s="19"/>
      <c r="AM1211" s="19"/>
      <c r="AN1211" s="19"/>
      <c r="AO1211" s="19"/>
    </row>
    <row r="1212" spans="16:41" x14ac:dyDescent="0.2">
      <c r="P1212" s="17"/>
      <c r="Q1212" s="17"/>
      <c r="R1212" s="17"/>
      <c r="S1212" s="17"/>
      <c r="T1212" s="17"/>
      <c r="U1212" s="17"/>
      <c r="V1212" s="17"/>
      <c r="W1212" s="17"/>
      <c r="X1212" s="17"/>
      <c r="Y1212" s="17"/>
      <c r="Z1212" s="17"/>
      <c r="AA1212" s="17"/>
      <c r="AB1212" s="17"/>
      <c r="AC1212" s="17"/>
      <c r="AD1212" s="17"/>
      <c r="AE1212" s="17"/>
      <c r="AF1212" s="17"/>
      <c r="AG1212" s="17"/>
      <c r="AH1212" s="17"/>
      <c r="AI1212" s="17"/>
      <c r="AJ1212" s="17"/>
      <c r="AK1212" s="17"/>
      <c r="AL1212" s="19"/>
      <c r="AM1212" s="19"/>
      <c r="AN1212" s="19"/>
      <c r="AO1212" s="19"/>
    </row>
    <row r="1213" spans="16:41" x14ac:dyDescent="0.2">
      <c r="P1213" s="17"/>
      <c r="Q1213" s="17"/>
      <c r="R1213" s="17"/>
      <c r="S1213" s="17"/>
      <c r="T1213" s="17"/>
      <c r="U1213" s="17"/>
      <c r="V1213" s="17"/>
      <c r="W1213" s="17"/>
      <c r="X1213" s="17"/>
      <c r="Y1213" s="17"/>
      <c r="Z1213" s="17"/>
      <c r="AA1213" s="17"/>
      <c r="AB1213" s="17"/>
      <c r="AC1213" s="17"/>
      <c r="AD1213" s="17"/>
      <c r="AE1213" s="17"/>
      <c r="AF1213" s="17"/>
      <c r="AG1213" s="17"/>
      <c r="AH1213" s="17"/>
      <c r="AI1213" s="17"/>
      <c r="AJ1213" s="17"/>
      <c r="AK1213" s="17"/>
      <c r="AL1213" s="19"/>
      <c r="AM1213" s="19"/>
      <c r="AN1213" s="19"/>
      <c r="AO1213" s="19"/>
    </row>
    <row r="1214" spans="16:41" x14ac:dyDescent="0.2">
      <c r="P1214" s="17"/>
      <c r="Q1214" s="17"/>
      <c r="R1214" s="17"/>
      <c r="S1214" s="17"/>
      <c r="T1214" s="17"/>
      <c r="U1214" s="17"/>
      <c r="V1214" s="17"/>
      <c r="W1214" s="17"/>
      <c r="X1214" s="17"/>
      <c r="Y1214" s="17"/>
      <c r="Z1214" s="17"/>
      <c r="AA1214" s="17"/>
      <c r="AB1214" s="17"/>
      <c r="AC1214" s="17"/>
      <c r="AD1214" s="17"/>
      <c r="AE1214" s="17"/>
      <c r="AF1214" s="17"/>
      <c r="AG1214" s="17"/>
      <c r="AH1214" s="17"/>
      <c r="AI1214" s="17"/>
      <c r="AJ1214" s="17"/>
      <c r="AK1214" s="17"/>
      <c r="AL1214" s="19"/>
      <c r="AM1214" s="19"/>
      <c r="AN1214" s="19"/>
      <c r="AO1214" s="19"/>
    </row>
    <row r="1215" spans="16:41" x14ac:dyDescent="0.2">
      <c r="P1215" s="17"/>
      <c r="Q1215" s="17"/>
      <c r="R1215" s="17"/>
      <c r="S1215" s="17"/>
      <c r="T1215" s="17"/>
      <c r="U1215" s="17"/>
      <c r="V1215" s="17"/>
      <c r="W1215" s="17"/>
      <c r="X1215" s="17"/>
      <c r="Y1215" s="17"/>
      <c r="Z1215" s="17"/>
      <c r="AA1215" s="17"/>
      <c r="AB1215" s="17"/>
      <c r="AC1215" s="17"/>
      <c r="AD1215" s="17"/>
      <c r="AE1215" s="17"/>
      <c r="AF1215" s="17"/>
      <c r="AG1215" s="17"/>
      <c r="AH1215" s="17"/>
      <c r="AI1215" s="17"/>
      <c r="AJ1215" s="17"/>
      <c r="AK1215" s="17"/>
      <c r="AL1215" s="19"/>
      <c r="AM1215" s="19"/>
      <c r="AN1215" s="19"/>
      <c r="AO1215" s="19"/>
    </row>
    <row r="1216" spans="16:41" x14ac:dyDescent="0.2">
      <c r="P1216" s="17"/>
      <c r="Q1216" s="17"/>
      <c r="R1216" s="17"/>
      <c r="S1216" s="17"/>
      <c r="T1216" s="17"/>
      <c r="U1216" s="17"/>
      <c r="V1216" s="17"/>
      <c r="W1216" s="17"/>
      <c r="X1216" s="17"/>
      <c r="Y1216" s="17"/>
      <c r="Z1216" s="17"/>
      <c r="AA1216" s="17"/>
      <c r="AB1216" s="17"/>
      <c r="AC1216" s="17"/>
      <c r="AD1216" s="17"/>
      <c r="AE1216" s="17"/>
      <c r="AF1216" s="17"/>
      <c r="AG1216" s="17"/>
      <c r="AH1216" s="17"/>
      <c r="AI1216" s="17"/>
      <c r="AJ1216" s="17"/>
      <c r="AK1216" s="17"/>
      <c r="AL1216" s="19"/>
      <c r="AM1216" s="19"/>
      <c r="AN1216" s="19"/>
      <c r="AO1216" s="19"/>
    </row>
    <row r="1217" spans="16:41" x14ac:dyDescent="0.2">
      <c r="P1217" s="17"/>
      <c r="Q1217" s="17"/>
      <c r="R1217" s="17"/>
      <c r="S1217" s="17"/>
      <c r="T1217" s="17"/>
      <c r="U1217" s="17"/>
      <c r="V1217" s="17"/>
      <c r="W1217" s="17"/>
      <c r="X1217" s="17"/>
      <c r="Y1217" s="17"/>
      <c r="Z1217" s="17"/>
      <c r="AA1217" s="17"/>
      <c r="AB1217" s="17"/>
      <c r="AC1217" s="17"/>
      <c r="AD1217" s="17"/>
      <c r="AE1217" s="17"/>
      <c r="AF1217" s="17"/>
      <c r="AG1217" s="17"/>
      <c r="AH1217" s="17"/>
      <c r="AI1217" s="17"/>
      <c r="AJ1217" s="17"/>
      <c r="AK1217" s="17"/>
      <c r="AL1217" s="19"/>
      <c r="AM1217" s="19"/>
      <c r="AN1217" s="19"/>
      <c r="AO1217" s="19"/>
    </row>
    <row r="1218" spans="16:41" x14ac:dyDescent="0.2">
      <c r="P1218" s="17"/>
      <c r="Q1218" s="17"/>
      <c r="R1218" s="17"/>
      <c r="S1218" s="17"/>
      <c r="T1218" s="17"/>
      <c r="U1218" s="17"/>
      <c r="V1218" s="17"/>
      <c r="W1218" s="17"/>
      <c r="X1218" s="17"/>
      <c r="Y1218" s="17"/>
      <c r="Z1218" s="17"/>
      <c r="AA1218" s="17"/>
      <c r="AB1218" s="17"/>
      <c r="AC1218" s="17"/>
      <c r="AD1218" s="17"/>
      <c r="AE1218" s="17"/>
      <c r="AF1218" s="17"/>
      <c r="AG1218" s="17"/>
      <c r="AH1218" s="17"/>
      <c r="AI1218" s="17"/>
      <c r="AJ1218" s="17"/>
      <c r="AK1218" s="17"/>
      <c r="AL1218" s="19"/>
      <c r="AM1218" s="19"/>
      <c r="AN1218" s="19"/>
      <c r="AO1218" s="19"/>
    </row>
    <row r="1219" spans="16:41" x14ac:dyDescent="0.2">
      <c r="P1219" s="17"/>
      <c r="Q1219" s="17"/>
      <c r="R1219" s="17"/>
      <c r="S1219" s="17"/>
      <c r="T1219" s="17"/>
      <c r="U1219" s="17"/>
      <c r="V1219" s="17"/>
      <c r="W1219" s="17"/>
      <c r="X1219" s="17"/>
      <c r="Y1219" s="17"/>
      <c r="Z1219" s="17"/>
      <c r="AA1219" s="17"/>
      <c r="AB1219" s="17"/>
      <c r="AC1219" s="17"/>
      <c r="AD1219" s="17"/>
      <c r="AE1219" s="17"/>
      <c r="AF1219" s="17"/>
      <c r="AG1219" s="17"/>
      <c r="AH1219" s="17"/>
      <c r="AI1219" s="17"/>
      <c r="AJ1219" s="17"/>
      <c r="AK1219" s="17"/>
      <c r="AL1219" s="19"/>
      <c r="AM1219" s="19"/>
      <c r="AN1219" s="19"/>
      <c r="AO1219" s="19"/>
    </row>
    <row r="1220" spans="16:41" x14ac:dyDescent="0.2">
      <c r="P1220" s="17"/>
      <c r="Q1220" s="17"/>
      <c r="R1220" s="17"/>
      <c r="S1220" s="17"/>
      <c r="T1220" s="17"/>
      <c r="U1220" s="17"/>
      <c r="V1220" s="17"/>
      <c r="W1220" s="17"/>
      <c r="X1220" s="17"/>
      <c r="Y1220" s="17"/>
      <c r="Z1220" s="17"/>
      <c r="AA1220" s="17"/>
      <c r="AB1220" s="17"/>
      <c r="AC1220" s="17"/>
      <c r="AD1220" s="17"/>
      <c r="AE1220" s="17"/>
      <c r="AF1220" s="17"/>
      <c r="AG1220" s="17"/>
      <c r="AH1220" s="17"/>
      <c r="AI1220" s="17"/>
      <c r="AJ1220" s="17"/>
      <c r="AK1220" s="17"/>
      <c r="AL1220" s="19"/>
      <c r="AM1220" s="19"/>
      <c r="AN1220" s="19"/>
      <c r="AO1220" s="19"/>
    </row>
    <row r="1221" spans="16:41" x14ac:dyDescent="0.2">
      <c r="P1221" s="17"/>
      <c r="Q1221" s="17"/>
      <c r="R1221" s="17"/>
      <c r="S1221" s="17"/>
      <c r="T1221" s="17"/>
      <c r="U1221" s="17"/>
      <c r="V1221" s="17"/>
      <c r="W1221" s="17"/>
      <c r="X1221" s="17"/>
      <c r="Y1221" s="17"/>
      <c r="Z1221" s="17"/>
      <c r="AA1221" s="17"/>
      <c r="AB1221" s="17"/>
      <c r="AC1221" s="17"/>
      <c r="AD1221" s="17"/>
      <c r="AE1221" s="17"/>
      <c r="AF1221" s="17"/>
      <c r="AG1221" s="17"/>
      <c r="AH1221" s="17"/>
      <c r="AI1221" s="17"/>
      <c r="AJ1221" s="17"/>
      <c r="AK1221" s="17"/>
      <c r="AL1221" s="19"/>
      <c r="AM1221" s="19"/>
      <c r="AN1221" s="19"/>
      <c r="AO1221" s="19"/>
    </row>
    <row r="1222" spans="16:41" x14ac:dyDescent="0.2">
      <c r="P1222" s="17"/>
      <c r="Q1222" s="17"/>
      <c r="R1222" s="17"/>
      <c r="S1222" s="17"/>
      <c r="T1222" s="17"/>
      <c r="U1222" s="17"/>
      <c r="V1222" s="17"/>
      <c r="W1222" s="17"/>
      <c r="X1222" s="17"/>
      <c r="Y1222" s="17"/>
      <c r="Z1222" s="17"/>
      <c r="AA1222" s="17"/>
      <c r="AB1222" s="17"/>
      <c r="AC1222" s="17"/>
      <c r="AD1222" s="17"/>
      <c r="AE1222" s="17"/>
      <c r="AF1222" s="17"/>
      <c r="AG1222" s="17"/>
      <c r="AH1222" s="17"/>
      <c r="AI1222" s="17"/>
      <c r="AJ1222" s="17"/>
      <c r="AK1222" s="17"/>
      <c r="AL1222" s="19"/>
      <c r="AM1222" s="19"/>
      <c r="AN1222" s="19"/>
      <c r="AO1222" s="19"/>
    </row>
    <row r="1223" spans="16:41" x14ac:dyDescent="0.2">
      <c r="P1223" s="17"/>
      <c r="Q1223" s="17"/>
      <c r="R1223" s="17"/>
      <c r="S1223" s="17"/>
      <c r="T1223" s="17"/>
      <c r="U1223" s="17"/>
      <c r="V1223" s="17"/>
      <c r="W1223" s="17"/>
      <c r="X1223" s="17"/>
      <c r="Y1223" s="17"/>
      <c r="Z1223" s="17"/>
      <c r="AA1223" s="17"/>
      <c r="AB1223" s="17"/>
      <c r="AC1223" s="17"/>
      <c r="AD1223" s="17"/>
      <c r="AE1223" s="17"/>
      <c r="AF1223" s="17"/>
      <c r="AG1223" s="17"/>
      <c r="AH1223" s="17"/>
      <c r="AI1223" s="17"/>
      <c r="AJ1223" s="17"/>
      <c r="AK1223" s="17"/>
      <c r="AL1223" s="19"/>
      <c r="AM1223" s="19"/>
      <c r="AN1223" s="19"/>
      <c r="AO1223" s="19"/>
    </row>
    <row r="1224" spans="16:41" x14ac:dyDescent="0.2">
      <c r="P1224" s="17"/>
      <c r="Q1224" s="17"/>
      <c r="R1224" s="17"/>
      <c r="S1224" s="17"/>
      <c r="T1224" s="17"/>
      <c r="U1224" s="17"/>
      <c r="V1224" s="17"/>
      <c r="W1224" s="17"/>
      <c r="X1224" s="17"/>
      <c r="Y1224" s="17"/>
      <c r="Z1224" s="17"/>
      <c r="AA1224" s="17"/>
      <c r="AB1224" s="17"/>
      <c r="AC1224" s="17"/>
      <c r="AD1224" s="17"/>
      <c r="AE1224" s="17"/>
      <c r="AF1224" s="17"/>
      <c r="AG1224" s="17"/>
      <c r="AH1224" s="17"/>
      <c r="AI1224" s="17"/>
      <c r="AJ1224" s="17"/>
      <c r="AK1224" s="17"/>
      <c r="AL1224" s="19"/>
      <c r="AM1224" s="19"/>
      <c r="AN1224" s="19"/>
      <c r="AO1224" s="19"/>
    </row>
    <row r="1225" spans="16:41" x14ac:dyDescent="0.2">
      <c r="P1225" s="17"/>
      <c r="Q1225" s="17"/>
      <c r="R1225" s="17"/>
      <c r="S1225" s="17"/>
      <c r="T1225" s="17"/>
      <c r="U1225" s="17"/>
      <c r="V1225" s="17"/>
      <c r="W1225" s="17"/>
      <c r="X1225" s="17"/>
      <c r="Y1225" s="17"/>
      <c r="Z1225" s="17"/>
      <c r="AA1225" s="17"/>
      <c r="AB1225" s="17"/>
      <c r="AC1225" s="17"/>
      <c r="AD1225" s="17"/>
      <c r="AE1225" s="17"/>
      <c r="AF1225" s="17"/>
      <c r="AG1225" s="17"/>
      <c r="AH1225" s="17"/>
      <c r="AI1225" s="17"/>
      <c r="AJ1225" s="17"/>
      <c r="AK1225" s="17"/>
      <c r="AL1225" s="19"/>
      <c r="AM1225" s="19"/>
      <c r="AN1225" s="19"/>
      <c r="AO1225" s="19"/>
    </row>
    <row r="1226" spans="16:41" x14ac:dyDescent="0.2">
      <c r="P1226" s="17"/>
      <c r="Q1226" s="17"/>
      <c r="R1226" s="17"/>
      <c r="S1226" s="17"/>
      <c r="T1226" s="17"/>
      <c r="U1226" s="17"/>
      <c r="V1226" s="17"/>
      <c r="W1226" s="17"/>
      <c r="X1226" s="17"/>
      <c r="Y1226" s="17"/>
      <c r="Z1226" s="17"/>
      <c r="AA1226" s="17"/>
      <c r="AB1226" s="17"/>
      <c r="AC1226" s="17"/>
      <c r="AD1226" s="17"/>
      <c r="AE1226" s="17"/>
      <c r="AF1226" s="17"/>
      <c r="AG1226" s="17"/>
      <c r="AH1226" s="17"/>
      <c r="AI1226" s="17"/>
      <c r="AJ1226" s="17"/>
      <c r="AK1226" s="17"/>
      <c r="AL1226" s="19"/>
      <c r="AM1226" s="19"/>
      <c r="AN1226" s="19"/>
      <c r="AO1226" s="19"/>
    </row>
    <row r="1227" spans="16:41" x14ac:dyDescent="0.2">
      <c r="P1227" s="17"/>
      <c r="Q1227" s="17"/>
      <c r="R1227" s="17"/>
      <c r="S1227" s="17"/>
      <c r="T1227" s="17"/>
      <c r="U1227" s="17"/>
      <c r="V1227" s="17"/>
      <c r="W1227" s="17"/>
      <c r="X1227" s="17"/>
      <c r="Y1227" s="17"/>
      <c r="Z1227" s="17"/>
      <c r="AA1227" s="17"/>
      <c r="AB1227" s="17"/>
      <c r="AC1227" s="17"/>
      <c r="AD1227" s="17"/>
      <c r="AE1227" s="17"/>
      <c r="AF1227" s="17"/>
      <c r="AG1227" s="17"/>
      <c r="AH1227" s="17"/>
      <c r="AI1227" s="17"/>
      <c r="AJ1227" s="17"/>
      <c r="AK1227" s="17"/>
      <c r="AL1227" s="19"/>
      <c r="AM1227" s="19"/>
      <c r="AN1227" s="19"/>
      <c r="AO1227" s="19"/>
    </row>
    <row r="1228" spans="16:41" x14ac:dyDescent="0.2">
      <c r="P1228" s="17"/>
      <c r="Q1228" s="17"/>
      <c r="R1228" s="17"/>
      <c r="S1228" s="17"/>
      <c r="T1228" s="17"/>
      <c r="U1228" s="17"/>
      <c r="V1228" s="17"/>
      <c r="W1228" s="17"/>
      <c r="X1228" s="17"/>
      <c r="Y1228" s="17"/>
      <c r="Z1228" s="17"/>
      <c r="AA1228" s="17"/>
      <c r="AB1228" s="17"/>
      <c r="AC1228" s="17"/>
      <c r="AD1228" s="17"/>
      <c r="AE1228" s="17"/>
      <c r="AF1228" s="17"/>
      <c r="AG1228" s="17"/>
      <c r="AH1228" s="17"/>
      <c r="AI1228" s="17"/>
      <c r="AJ1228" s="17"/>
      <c r="AK1228" s="17"/>
      <c r="AL1228" s="19"/>
      <c r="AM1228" s="19"/>
      <c r="AN1228" s="19"/>
      <c r="AO1228" s="19"/>
    </row>
    <row r="1229" spans="16:41" x14ac:dyDescent="0.2">
      <c r="P1229" s="17"/>
      <c r="Q1229" s="17"/>
      <c r="R1229" s="17"/>
      <c r="S1229" s="17"/>
      <c r="T1229" s="17"/>
      <c r="U1229" s="17"/>
      <c r="V1229" s="17"/>
      <c r="W1229" s="17"/>
      <c r="X1229" s="17"/>
      <c r="Y1229" s="17"/>
      <c r="Z1229" s="17"/>
      <c r="AA1229" s="17"/>
      <c r="AB1229" s="17"/>
      <c r="AC1229" s="17"/>
      <c r="AD1229" s="17"/>
      <c r="AE1229" s="17"/>
      <c r="AF1229" s="17"/>
      <c r="AG1229" s="17"/>
      <c r="AH1229" s="17"/>
      <c r="AI1229" s="17"/>
      <c r="AJ1229" s="17"/>
      <c r="AK1229" s="17"/>
      <c r="AL1229" s="19"/>
      <c r="AM1229" s="19"/>
      <c r="AN1229" s="19"/>
      <c r="AO1229" s="19"/>
    </row>
    <row r="1230" spans="16:41" x14ac:dyDescent="0.2">
      <c r="P1230" s="17"/>
      <c r="Q1230" s="17"/>
      <c r="R1230" s="17"/>
      <c r="S1230" s="17"/>
      <c r="T1230" s="17"/>
      <c r="U1230" s="17"/>
      <c r="V1230" s="17"/>
      <c r="W1230" s="17"/>
      <c r="X1230" s="17"/>
      <c r="Y1230" s="17"/>
      <c r="Z1230" s="17"/>
      <c r="AA1230" s="17"/>
      <c r="AB1230" s="17"/>
      <c r="AC1230" s="17"/>
      <c r="AD1230" s="17"/>
      <c r="AE1230" s="17"/>
      <c r="AF1230" s="17"/>
      <c r="AG1230" s="17"/>
      <c r="AH1230" s="17"/>
      <c r="AI1230" s="17"/>
      <c r="AJ1230" s="17"/>
      <c r="AK1230" s="17"/>
      <c r="AL1230" s="19"/>
      <c r="AM1230" s="19"/>
      <c r="AN1230" s="19"/>
      <c r="AO1230" s="19"/>
    </row>
    <row r="1231" spans="16:41" x14ac:dyDescent="0.2">
      <c r="P1231" s="17"/>
      <c r="Q1231" s="17"/>
      <c r="R1231" s="17"/>
      <c r="S1231" s="17"/>
      <c r="T1231" s="17"/>
      <c r="U1231" s="17"/>
      <c r="V1231" s="17"/>
      <c r="W1231" s="17"/>
      <c r="X1231" s="17"/>
      <c r="Y1231" s="17"/>
      <c r="Z1231" s="17"/>
      <c r="AA1231" s="17"/>
      <c r="AB1231" s="17"/>
      <c r="AC1231" s="17"/>
      <c r="AD1231" s="17"/>
      <c r="AE1231" s="17"/>
      <c r="AF1231" s="17"/>
      <c r="AG1231" s="17"/>
      <c r="AH1231" s="17"/>
      <c r="AI1231" s="17"/>
      <c r="AJ1231" s="17"/>
      <c r="AK1231" s="17"/>
      <c r="AL1231" s="19"/>
      <c r="AM1231" s="19"/>
      <c r="AN1231" s="19"/>
      <c r="AO1231" s="19"/>
    </row>
    <row r="1232" spans="16:41" x14ac:dyDescent="0.2">
      <c r="P1232" s="17"/>
      <c r="Q1232" s="17"/>
      <c r="R1232" s="17"/>
      <c r="S1232" s="17"/>
      <c r="T1232" s="17"/>
      <c r="U1232" s="17"/>
      <c r="V1232" s="17"/>
      <c r="W1232" s="17"/>
      <c r="X1232" s="17"/>
      <c r="Y1232" s="17"/>
      <c r="Z1232" s="17"/>
      <c r="AA1232" s="17"/>
      <c r="AB1232" s="17"/>
      <c r="AC1232" s="17"/>
      <c r="AD1232" s="17"/>
      <c r="AE1232" s="17"/>
      <c r="AF1232" s="17"/>
      <c r="AG1232" s="17"/>
      <c r="AH1232" s="17"/>
      <c r="AI1232" s="17"/>
      <c r="AJ1232" s="17"/>
      <c r="AK1232" s="17"/>
      <c r="AL1232" s="19"/>
      <c r="AM1232" s="19"/>
      <c r="AN1232" s="19"/>
      <c r="AO1232" s="19"/>
    </row>
    <row r="1233" spans="16:41" x14ac:dyDescent="0.2">
      <c r="P1233" s="17"/>
      <c r="Q1233" s="17"/>
      <c r="R1233" s="17"/>
      <c r="S1233" s="17"/>
      <c r="T1233" s="17"/>
      <c r="U1233" s="17"/>
      <c r="V1233" s="17"/>
      <c r="W1233" s="17"/>
      <c r="X1233" s="17"/>
      <c r="Y1233" s="17"/>
      <c r="Z1233" s="17"/>
      <c r="AA1233" s="17"/>
      <c r="AB1233" s="17"/>
      <c r="AC1233" s="17"/>
      <c r="AD1233" s="17"/>
      <c r="AE1233" s="17"/>
      <c r="AF1233" s="17"/>
      <c r="AG1233" s="17"/>
      <c r="AH1233" s="17"/>
      <c r="AI1233" s="17"/>
      <c r="AJ1233" s="17"/>
      <c r="AK1233" s="17"/>
      <c r="AL1233" s="19"/>
      <c r="AM1233" s="19"/>
      <c r="AN1233" s="19"/>
      <c r="AO1233" s="19"/>
    </row>
    <row r="1234" spans="16:41" x14ac:dyDescent="0.2">
      <c r="P1234" s="17"/>
      <c r="Q1234" s="17"/>
      <c r="R1234" s="17"/>
      <c r="S1234" s="17"/>
      <c r="T1234" s="17"/>
      <c r="U1234" s="17"/>
      <c r="V1234" s="17"/>
      <c r="W1234" s="17"/>
      <c r="X1234" s="17"/>
      <c r="Y1234" s="17"/>
      <c r="Z1234" s="17"/>
      <c r="AA1234" s="17"/>
      <c r="AB1234" s="17"/>
      <c r="AC1234" s="17"/>
      <c r="AD1234" s="17"/>
      <c r="AE1234" s="17"/>
      <c r="AF1234" s="17"/>
      <c r="AG1234" s="17"/>
      <c r="AH1234" s="17"/>
      <c r="AI1234" s="17"/>
      <c r="AJ1234" s="17"/>
      <c r="AK1234" s="17"/>
      <c r="AL1234" s="19"/>
      <c r="AM1234" s="19"/>
      <c r="AN1234" s="19"/>
      <c r="AO1234" s="19"/>
    </row>
    <row r="1235" spans="16:41" x14ac:dyDescent="0.2">
      <c r="P1235" s="17"/>
      <c r="Q1235" s="17"/>
      <c r="R1235" s="17"/>
      <c r="S1235" s="17"/>
      <c r="T1235" s="17"/>
      <c r="U1235" s="17"/>
      <c r="V1235" s="17"/>
      <c r="W1235" s="17"/>
      <c r="X1235" s="17"/>
      <c r="Y1235" s="17"/>
      <c r="Z1235" s="17"/>
      <c r="AA1235" s="17"/>
      <c r="AB1235" s="17"/>
      <c r="AC1235" s="17"/>
      <c r="AD1235" s="17"/>
      <c r="AE1235" s="17"/>
      <c r="AF1235" s="17"/>
      <c r="AG1235" s="17"/>
      <c r="AH1235" s="17"/>
      <c r="AI1235" s="17"/>
      <c r="AJ1235" s="17"/>
      <c r="AK1235" s="17"/>
      <c r="AL1235" s="19"/>
      <c r="AM1235" s="19"/>
      <c r="AN1235" s="19"/>
      <c r="AO1235" s="19"/>
    </row>
    <row r="1236" spans="16:41" x14ac:dyDescent="0.2">
      <c r="P1236" s="17"/>
      <c r="Q1236" s="17"/>
      <c r="R1236" s="17"/>
      <c r="S1236" s="17"/>
      <c r="T1236" s="17"/>
      <c r="U1236" s="17"/>
      <c r="V1236" s="17"/>
      <c r="W1236" s="17"/>
      <c r="X1236" s="17"/>
      <c r="Y1236" s="17"/>
      <c r="Z1236" s="17"/>
      <c r="AA1236" s="17"/>
      <c r="AB1236" s="17"/>
      <c r="AC1236" s="17"/>
      <c r="AD1236" s="17"/>
      <c r="AE1236" s="17"/>
      <c r="AF1236" s="17"/>
      <c r="AG1236" s="17"/>
      <c r="AH1236" s="17"/>
      <c r="AI1236" s="17"/>
      <c r="AJ1236" s="17"/>
      <c r="AK1236" s="17"/>
      <c r="AL1236" s="19"/>
      <c r="AM1236" s="19"/>
      <c r="AN1236" s="19"/>
      <c r="AO1236" s="19"/>
    </row>
    <row r="1237" spans="16:41" x14ac:dyDescent="0.2">
      <c r="P1237" s="17"/>
      <c r="Q1237" s="17"/>
      <c r="R1237" s="17"/>
      <c r="S1237" s="17"/>
      <c r="T1237" s="17"/>
      <c r="U1237" s="17"/>
      <c r="V1237" s="17"/>
      <c r="W1237" s="17"/>
      <c r="X1237" s="17"/>
      <c r="Y1237" s="17"/>
      <c r="Z1237" s="17"/>
      <c r="AA1237" s="17"/>
      <c r="AB1237" s="17"/>
      <c r="AC1237" s="17"/>
      <c r="AD1237" s="17"/>
      <c r="AE1237" s="17"/>
      <c r="AF1237" s="17"/>
      <c r="AG1237" s="17"/>
      <c r="AH1237" s="17"/>
      <c r="AI1237" s="17"/>
      <c r="AJ1237" s="17"/>
      <c r="AK1237" s="17"/>
      <c r="AL1237" s="19"/>
      <c r="AM1237" s="19"/>
      <c r="AN1237" s="19"/>
      <c r="AO1237" s="19"/>
    </row>
    <row r="1238" spans="16:41" x14ac:dyDescent="0.2">
      <c r="P1238" s="17"/>
      <c r="Q1238" s="17"/>
      <c r="R1238" s="17"/>
      <c r="S1238" s="17"/>
      <c r="T1238" s="17"/>
      <c r="U1238" s="17"/>
      <c r="V1238" s="17"/>
      <c r="W1238" s="17"/>
      <c r="X1238" s="17"/>
      <c r="Y1238" s="17"/>
      <c r="Z1238" s="17"/>
      <c r="AA1238" s="17"/>
      <c r="AB1238" s="17"/>
      <c r="AC1238" s="17"/>
      <c r="AD1238" s="17"/>
      <c r="AE1238" s="17"/>
      <c r="AF1238" s="17"/>
      <c r="AG1238" s="17"/>
      <c r="AH1238" s="17"/>
      <c r="AI1238" s="17"/>
      <c r="AJ1238" s="17"/>
      <c r="AK1238" s="17"/>
      <c r="AL1238" s="19"/>
      <c r="AM1238" s="19"/>
      <c r="AN1238" s="19"/>
      <c r="AO1238" s="19"/>
    </row>
    <row r="1239" spans="16:41" x14ac:dyDescent="0.2">
      <c r="P1239" s="17"/>
      <c r="Q1239" s="17"/>
      <c r="R1239" s="17"/>
      <c r="S1239" s="17"/>
      <c r="T1239" s="17"/>
      <c r="U1239" s="17"/>
      <c r="V1239" s="17"/>
      <c r="W1239" s="17"/>
      <c r="X1239" s="17"/>
      <c r="Y1239" s="17"/>
      <c r="Z1239" s="17"/>
      <c r="AA1239" s="17"/>
      <c r="AB1239" s="17"/>
      <c r="AC1239" s="17"/>
      <c r="AD1239" s="17"/>
      <c r="AE1239" s="17"/>
      <c r="AF1239" s="17"/>
      <c r="AG1239" s="17"/>
      <c r="AH1239" s="17"/>
      <c r="AI1239" s="17"/>
      <c r="AJ1239" s="17"/>
      <c r="AK1239" s="17"/>
      <c r="AL1239" s="19"/>
      <c r="AM1239" s="19"/>
      <c r="AN1239" s="19"/>
      <c r="AO1239" s="19"/>
    </row>
    <row r="1240" spans="16:41" x14ac:dyDescent="0.2">
      <c r="P1240" s="17"/>
      <c r="Q1240" s="17"/>
      <c r="R1240" s="17"/>
      <c r="S1240" s="17"/>
      <c r="T1240" s="17"/>
      <c r="U1240" s="17"/>
      <c r="V1240" s="17"/>
      <c r="W1240" s="17"/>
      <c r="X1240" s="17"/>
      <c r="Y1240" s="17"/>
      <c r="Z1240" s="17"/>
      <c r="AA1240" s="17"/>
      <c r="AB1240" s="17"/>
      <c r="AC1240" s="17"/>
      <c r="AD1240" s="17"/>
      <c r="AE1240" s="17"/>
      <c r="AF1240" s="17"/>
      <c r="AG1240" s="17"/>
      <c r="AH1240" s="17"/>
      <c r="AI1240" s="17"/>
      <c r="AJ1240" s="17"/>
      <c r="AK1240" s="17"/>
      <c r="AL1240" s="19"/>
      <c r="AM1240" s="19"/>
      <c r="AN1240" s="19"/>
      <c r="AO1240" s="19"/>
    </row>
    <row r="1241" spans="16:41" x14ac:dyDescent="0.2">
      <c r="P1241" s="17"/>
      <c r="Q1241" s="17"/>
      <c r="R1241" s="17"/>
      <c r="S1241" s="17"/>
      <c r="T1241" s="17"/>
      <c r="U1241" s="17"/>
      <c r="V1241" s="17"/>
      <c r="W1241" s="17"/>
      <c r="X1241" s="17"/>
      <c r="Y1241" s="17"/>
      <c r="Z1241" s="17"/>
      <c r="AA1241" s="17"/>
      <c r="AB1241" s="17"/>
      <c r="AC1241" s="17"/>
      <c r="AD1241" s="17"/>
      <c r="AE1241" s="17"/>
      <c r="AF1241" s="17"/>
      <c r="AG1241" s="17"/>
      <c r="AH1241" s="17"/>
      <c r="AI1241" s="17"/>
      <c r="AJ1241" s="17"/>
      <c r="AK1241" s="17"/>
      <c r="AL1241" s="19"/>
      <c r="AM1241" s="19"/>
      <c r="AN1241" s="19"/>
      <c r="AO1241" s="19"/>
    </row>
    <row r="1242" spans="16:41" x14ac:dyDescent="0.2">
      <c r="P1242" s="17"/>
      <c r="Q1242" s="17"/>
      <c r="R1242" s="17"/>
      <c r="S1242" s="17"/>
      <c r="T1242" s="17"/>
      <c r="U1242" s="17"/>
      <c r="V1242" s="17"/>
      <c r="W1242" s="17"/>
      <c r="X1242" s="17"/>
      <c r="Y1242" s="17"/>
      <c r="Z1242" s="17"/>
      <c r="AA1242" s="17"/>
      <c r="AB1242" s="17"/>
      <c r="AC1242" s="17"/>
      <c r="AD1242" s="17"/>
      <c r="AE1242" s="17"/>
      <c r="AF1242" s="17"/>
      <c r="AG1242" s="17"/>
      <c r="AH1242" s="17"/>
      <c r="AI1242" s="17"/>
      <c r="AJ1242" s="17"/>
      <c r="AK1242" s="17"/>
      <c r="AL1242" s="19"/>
      <c r="AM1242" s="19"/>
      <c r="AN1242" s="19"/>
      <c r="AO1242" s="19"/>
    </row>
    <row r="1243" spans="16:41" x14ac:dyDescent="0.2">
      <c r="P1243" s="17"/>
      <c r="Q1243" s="17"/>
      <c r="R1243" s="17"/>
      <c r="S1243" s="17"/>
      <c r="T1243" s="17"/>
      <c r="U1243" s="17"/>
      <c r="V1243" s="17"/>
      <c r="W1243" s="17"/>
      <c r="X1243" s="17"/>
      <c r="Y1243" s="17"/>
      <c r="Z1243" s="17"/>
      <c r="AA1243" s="17"/>
      <c r="AB1243" s="17"/>
      <c r="AC1243" s="17"/>
      <c r="AD1243" s="17"/>
      <c r="AE1243" s="17"/>
      <c r="AF1243" s="17"/>
      <c r="AG1243" s="17"/>
      <c r="AH1243" s="17"/>
      <c r="AI1243" s="17"/>
      <c r="AJ1243" s="17"/>
      <c r="AK1243" s="17"/>
      <c r="AL1243" s="19"/>
      <c r="AM1243" s="19"/>
      <c r="AN1243" s="19"/>
      <c r="AO1243" s="19"/>
    </row>
    <row r="1244" spans="16:41" x14ac:dyDescent="0.2">
      <c r="P1244" s="17"/>
      <c r="Q1244" s="17"/>
      <c r="R1244" s="17"/>
      <c r="S1244" s="17"/>
      <c r="T1244" s="17"/>
      <c r="U1244" s="17"/>
      <c r="V1244" s="17"/>
      <c r="W1244" s="17"/>
      <c r="X1244" s="17"/>
      <c r="Y1244" s="17"/>
      <c r="Z1244" s="17"/>
      <c r="AA1244" s="17"/>
      <c r="AB1244" s="17"/>
      <c r="AC1244" s="17"/>
      <c r="AD1244" s="17"/>
      <c r="AE1244" s="17"/>
      <c r="AF1244" s="17"/>
      <c r="AG1244" s="17"/>
      <c r="AH1244" s="17"/>
      <c r="AI1244" s="17"/>
      <c r="AJ1244" s="17"/>
      <c r="AK1244" s="17"/>
      <c r="AL1244" s="19"/>
      <c r="AM1244" s="19"/>
      <c r="AN1244" s="19"/>
      <c r="AO1244" s="19"/>
    </row>
    <row r="1245" spans="16:41" x14ac:dyDescent="0.2">
      <c r="P1245" s="17"/>
      <c r="Q1245" s="17"/>
      <c r="R1245" s="17"/>
      <c r="S1245" s="17"/>
      <c r="T1245" s="17"/>
      <c r="U1245" s="17"/>
      <c r="V1245" s="17"/>
      <c r="W1245" s="17"/>
      <c r="X1245" s="17"/>
      <c r="Y1245" s="17"/>
      <c r="Z1245" s="17"/>
      <c r="AA1245" s="17"/>
      <c r="AB1245" s="17"/>
      <c r="AC1245" s="17"/>
      <c r="AD1245" s="17"/>
      <c r="AE1245" s="17"/>
      <c r="AF1245" s="17"/>
      <c r="AG1245" s="17"/>
      <c r="AH1245" s="17"/>
      <c r="AI1245" s="17"/>
      <c r="AJ1245" s="17"/>
      <c r="AK1245" s="17"/>
      <c r="AL1245" s="19"/>
      <c r="AM1245" s="19"/>
      <c r="AN1245" s="19"/>
      <c r="AO1245" s="19"/>
    </row>
    <row r="1246" spans="16:41" x14ac:dyDescent="0.2">
      <c r="P1246" s="17"/>
      <c r="Q1246" s="17"/>
      <c r="R1246" s="17"/>
      <c r="S1246" s="17"/>
      <c r="T1246" s="17"/>
      <c r="U1246" s="17"/>
      <c r="V1246" s="17"/>
      <c r="W1246" s="17"/>
      <c r="X1246" s="17"/>
      <c r="Y1246" s="17"/>
      <c r="Z1246" s="17"/>
      <c r="AA1246" s="17"/>
      <c r="AB1246" s="17"/>
      <c r="AC1246" s="17"/>
      <c r="AD1246" s="17"/>
      <c r="AE1246" s="17"/>
      <c r="AF1246" s="17"/>
      <c r="AG1246" s="17"/>
      <c r="AH1246" s="17"/>
      <c r="AI1246" s="17"/>
      <c r="AJ1246" s="17"/>
      <c r="AK1246" s="17"/>
      <c r="AL1246" s="19"/>
      <c r="AM1246" s="19"/>
      <c r="AN1246" s="19"/>
      <c r="AO1246" s="19"/>
    </row>
    <row r="1247" spans="16:41" x14ac:dyDescent="0.2">
      <c r="P1247" s="17"/>
      <c r="Z1247" s="17"/>
      <c r="AA1247" s="17"/>
      <c r="AB1247" s="17"/>
      <c r="AC1247" s="17"/>
      <c r="AD1247" s="17"/>
      <c r="AE1247" s="17"/>
      <c r="AF1247" s="17"/>
      <c r="AG1247" s="17"/>
      <c r="AH1247" s="17"/>
      <c r="AI1247" s="17"/>
      <c r="AJ1247" s="17"/>
      <c r="AK1247" s="17"/>
      <c r="AL1247" s="19"/>
      <c r="AM1247" s="19"/>
      <c r="AN1247" s="19"/>
      <c r="AO1247" s="19"/>
    </row>
    <row r="1248" spans="16:41" x14ac:dyDescent="0.2">
      <c r="P1248" s="17"/>
      <c r="Z1248" s="17"/>
      <c r="AA1248" s="17"/>
      <c r="AB1248" s="17"/>
      <c r="AC1248" s="17"/>
      <c r="AD1248" s="17"/>
      <c r="AE1248" s="17"/>
      <c r="AF1248" s="17"/>
      <c r="AG1248" s="17"/>
      <c r="AH1248" s="17"/>
      <c r="AI1248" s="17"/>
      <c r="AJ1248" s="17"/>
      <c r="AK1248" s="17"/>
      <c r="AL1248" s="19"/>
      <c r="AM1248" s="19"/>
      <c r="AN1248" s="19"/>
      <c r="AO1248" s="19"/>
    </row>
    <row r="1249" spans="16:41" x14ac:dyDescent="0.2">
      <c r="P1249" s="17"/>
      <c r="Z1249" s="17"/>
      <c r="AA1249" s="17"/>
      <c r="AB1249" s="17"/>
      <c r="AC1249" s="17"/>
      <c r="AD1249" s="17"/>
      <c r="AE1249" s="17"/>
      <c r="AF1249" s="17"/>
      <c r="AG1249" s="17"/>
      <c r="AH1249" s="17"/>
      <c r="AI1249" s="17"/>
      <c r="AJ1249" s="17"/>
      <c r="AK1249" s="17"/>
      <c r="AL1249" s="19"/>
      <c r="AM1249" s="19"/>
      <c r="AN1249" s="19"/>
      <c r="AO1249" s="19"/>
    </row>
    <row r="1250" spans="16:41" x14ac:dyDescent="0.2">
      <c r="P1250" s="17"/>
      <c r="Z1250" s="17"/>
      <c r="AA1250" s="17"/>
      <c r="AB1250" s="17"/>
      <c r="AC1250" s="17"/>
      <c r="AD1250" s="17"/>
      <c r="AE1250" s="17"/>
      <c r="AF1250" s="17"/>
      <c r="AG1250" s="17"/>
      <c r="AH1250" s="17"/>
      <c r="AI1250" s="17"/>
      <c r="AJ1250" s="17"/>
      <c r="AK1250" s="17"/>
      <c r="AL1250" s="19"/>
      <c r="AM1250" s="19"/>
      <c r="AN1250" s="19"/>
      <c r="AO1250" s="19"/>
    </row>
    <row r="1251" spans="16:41" x14ac:dyDescent="0.2">
      <c r="P1251" s="17"/>
      <c r="Z1251" s="17"/>
      <c r="AA1251" s="17"/>
      <c r="AB1251" s="17"/>
      <c r="AC1251" s="17"/>
      <c r="AD1251" s="17"/>
      <c r="AE1251" s="17"/>
      <c r="AF1251" s="17"/>
      <c r="AG1251" s="17"/>
      <c r="AH1251" s="17"/>
      <c r="AI1251" s="17"/>
      <c r="AJ1251" s="17"/>
      <c r="AK1251" s="17"/>
      <c r="AL1251" s="19"/>
      <c r="AM1251" s="19"/>
      <c r="AN1251" s="19"/>
      <c r="AO1251" s="19"/>
    </row>
    <row r="1252" spans="16:41" x14ac:dyDescent="0.2">
      <c r="P1252" s="17"/>
      <c r="Z1252" s="17"/>
      <c r="AA1252" s="17"/>
      <c r="AB1252" s="17"/>
      <c r="AC1252" s="17"/>
      <c r="AD1252" s="17"/>
      <c r="AE1252" s="17"/>
      <c r="AF1252" s="17"/>
      <c r="AG1252" s="17"/>
      <c r="AH1252" s="17"/>
      <c r="AI1252" s="17"/>
      <c r="AJ1252" s="17"/>
      <c r="AK1252" s="17"/>
      <c r="AL1252" s="19"/>
      <c r="AM1252" s="19"/>
      <c r="AN1252" s="19"/>
      <c r="AO1252" s="19"/>
    </row>
    <row r="1253" spans="16:41" x14ac:dyDescent="0.2">
      <c r="P1253" s="17"/>
      <c r="Z1253" s="17"/>
      <c r="AA1253" s="17"/>
      <c r="AB1253" s="17"/>
      <c r="AC1253" s="17"/>
      <c r="AD1253" s="17"/>
      <c r="AE1253" s="17"/>
      <c r="AF1253" s="17"/>
      <c r="AG1253" s="17"/>
      <c r="AH1253" s="17"/>
      <c r="AI1253" s="17"/>
      <c r="AJ1253" s="17"/>
      <c r="AK1253" s="17"/>
      <c r="AL1253" s="19"/>
      <c r="AM1253" s="19"/>
      <c r="AN1253" s="19"/>
      <c r="AO1253" s="19"/>
    </row>
    <row r="1254" spans="16:41" x14ac:dyDescent="0.2">
      <c r="P1254" s="17"/>
      <c r="Z1254" s="17"/>
      <c r="AA1254" s="17"/>
      <c r="AB1254" s="17"/>
      <c r="AC1254" s="17"/>
      <c r="AD1254" s="17"/>
      <c r="AE1254" s="17"/>
      <c r="AF1254" s="17"/>
      <c r="AG1254" s="17"/>
      <c r="AH1254" s="17"/>
      <c r="AI1254" s="17"/>
      <c r="AJ1254" s="17"/>
      <c r="AK1254" s="17"/>
      <c r="AL1254" s="19"/>
      <c r="AM1254" s="19"/>
      <c r="AN1254" s="19"/>
      <c r="AO1254" s="19"/>
    </row>
    <row r="1255" spans="16:41" x14ac:dyDescent="0.2">
      <c r="P1255" s="17"/>
      <c r="Z1255" s="17"/>
      <c r="AA1255" s="17"/>
      <c r="AB1255" s="17"/>
      <c r="AC1255" s="17"/>
      <c r="AD1255" s="17"/>
      <c r="AE1255" s="17"/>
      <c r="AF1255" s="17"/>
      <c r="AG1255" s="17"/>
      <c r="AH1255" s="17"/>
      <c r="AI1255" s="17"/>
      <c r="AJ1255" s="17"/>
      <c r="AK1255" s="17"/>
      <c r="AL1255" s="19"/>
      <c r="AM1255" s="19"/>
      <c r="AN1255" s="19"/>
      <c r="AO1255" s="19"/>
    </row>
    <row r="1256" spans="16:41" x14ac:dyDescent="0.2">
      <c r="P1256" s="17"/>
      <c r="Z1256" s="17"/>
      <c r="AA1256" s="17"/>
      <c r="AB1256" s="17"/>
      <c r="AC1256" s="17"/>
      <c r="AD1256" s="17"/>
      <c r="AE1256" s="17"/>
      <c r="AF1256" s="17"/>
      <c r="AG1256" s="17"/>
      <c r="AH1256" s="17"/>
      <c r="AI1256" s="17"/>
      <c r="AJ1256" s="17"/>
      <c r="AK1256" s="17"/>
      <c r="AL1256" s="19"/>
      <c r="AM1256" s="19"/>
      <c r="AN1256" s="19"/>
      <c r="AO1256" s="19"/>
    </row>
    <row r="1257" spans="16:41" x14ac:dyDescent="0.2">
      <c r="P1257" s="17"/>
      <c r="Z1257" s="17"/>
      <c r="AA1257" s="17"/>
      <c r="AB1257" s="17"/>
      <c r="AC1257" s="17"/>
      <c r="AD1257" s="17"/>
      <c r="AE1257" s="17"/>
      <c r="AF1257" s="17"/>
      <c r="AG1257" s="17"/>
      <c r="AH1257" s="17"/>
      <c r="AI1257" s="17"/>
      <c r="AJ1257" s="17"/>
      <c r="AK1257" s="17"/>
      <c r="AL1257" s="19"/>
      <c r="AM1257" s="19"/>
      <c r="AN1257" s="19"/>
      <c r="AO1257" s="19"/>
    </row>
    <row r="1258" spans="16:41" x14ac:dyDescent="0.2">
      <c r="P1258" s="17"/>
      <c r="Z1258" s="17"/>
      <c r="AA1258" s="17"/>
      <c r="AB1258" s="17"/>
      <c r="AC1258" s="17"/>
      <c r="AD1258" s="17"/>
      <c r="AE1258" s="17"/>
      <c r="AF1258" s="17"/>
      <c r="AG1258" s="17"/>
      <c r="AH1258" s="17"/>
      <c r="AI1258" s="17"/>
      <c r="AJ1258" s="17"/>
      <c r="AK1258" s="17"/>
      <c r="AL1258" s="19"/>
      <c r="AM1258" s="19"/>
      <c r="AN1258" s="19"/>
      <c r="AO1258" s="19"/>
    </row>
    <row r="1259" spans="16:41" x14ac:dyDescent="0.2">
      <c r="P1259" s="17"/>
      <c r="Z1259" s="17"/>
      <c r="AA1259" s="17"/>
      <c r="AB1259" s="17"/>
      <c r="AC1259" s="17"/>
      <c r="AD1259" s="17"/>
      <c r="AE1259" s="17"/>
      <c r="AF1259" s="17"/>
      <c r="AG1259" s="17"/>
      <c r="AH1259" s="17"/>
      <c r="AI1259" s="17"/>
      <c r="AJ1259" s="17"/>
      <c r="AK1259" s="17"/>
      <c r="AL1259" s="19"/>
      <c r="AM1259" s="19"/>
      <c r="AN1259" s="19"/>
      <c r="AO1259" s="19"/>
    </row>
    <row r="1260" spans="16:41" x14ac:dyDescent="0.2">
      <c r="P1260" s="17"/>
      <c r="Z1260" s="17"/>
      <c r="AA1260" s="17"/>
      <c r="AB1260" s="17"/>
      <c r="AC1260" s="17"/>
      <c r="AD1260" s="17"/>
      <c r="AE1260" s="17"/>
      <c r="AF1260" s="17"/>
      <c r="AG1260" s="17"/>
      <c r="AH1260" s="17"/>
      <c r="AI1260" s="17"/>
      <c r="AJ1260" s="17"/>
      <c r="AK1260" s="17"/>
      <c r="AL1260" s="19"/>
      <c r="AM1260" s="19"/>
      <c r="AN1260" s="19"/>
      <c r="AO1260" s="19"/>
    </row>
    <row r="1261" spans="16:41" x14ac:dyDescent="0.2">
      <c r="P1261" s="17"/>
      <c r="Z1261" s="17"/>
      <c r="AA1261" s="17"/>
      <c r="AB1261" s="17"/>
      <c r="AC1261" s="17"/>
      <c r="AD1261" s="17"/>
      <c r="AE1261" s="17"/>
      <c r="AF1261" s="17"/>
      <c r="AG1261" s="17"/>
      <c r="AH1261" s="17"/>
      <c r="AI1261" s="17"/>
      <c r="AJ1261" s="17"/>
      <c r="AK1261" s="17"/>
      <c r="AL1261" s="19"/>
      <c r="AM1261" s="19"/>
      <c r="AN1261" s="19"/>
      <c r="AO1261" s="19"/>
    </row>
    <row r="1262" spans="16:41" x14ac:dyDescent="0.2">
      <c r="P1262" s="17"/>
      <c r="Z1262" s="17"/>
      <c r="AA1262" s="17"/>
      <c r="AB1262" s="17"/>
      <c r="AC1262" s="17"/>
      <c r="AD1262" s="17"/>
      <c r="AE1262" s="17"/>
      <c r="AF1262" s="17"/>
      <c r="AG1262" s="17"/>
      <c r="AH1262" s="17"/>
      <c r="AI1262" s="17"/>
      <c r="AJ1262" s="17"/>
      <c r="AK1262" s="17"/>
      <c r="AL1262" s="19"/>
      <c r="AM1262" s="19"/>
      <c r="AN1262" s="19"/>
      <c r="AO1262" s="19"/>
    </row>
    <row r="1263" spans="16:41" x14ac:dyDescent="0.2">
      <c r="P1263" s="17"/>
      <c r="Z1263" s="17"/>
      <c r="AA1263" s="17"/>
      <c r="AB1263" s="17"/>
      <c r="AC1263" s="17"/>
      <c r="AD1263" s="17"/>
      <c r="AE1263" s="17"/>
      <c r="AF1263" s="17"/>
      <c r="AG1263" s="17"/>
      <c r="AH1263" s="17"/>
      <c r="AI1263" s="17"/>
      <c r="AJ1263" s="17"/>
      <c r="AK1263" s="17"/>
      <c r="AL1263" s="19"/>
      <c r="AM1263" s="19"/>
      <c r="AN1263" s="19"/>
      <c r="AO1263" s="19"/>
    </row>
    <row r="1264" spans="16:41" x14ac:dyDescent="0.2">
      <c r="P1264" s="17"/>
      <c r="Z1264" s="17"/>
      <c r="AA1264" s="17"/>
      <c r="AB1264" s="17"/>
      <c r="AC1264" s="17"/>
      <c r="AD1264" s="17"/>
      <c r="AE1264" s="17"/>
      <c r="AF1264" s="17"/>
      <c r="AG1264" s="17"/>
      <c r="AH1264" s="17"/>
      <c r="AI1264" s="17"/>
      <c r="AJ1264" s="17"/>
      <c r="AK1264" s="17"/>
      <c r="AL1264" s="19"/>
      <c r="AM1264" s="19"/>
      <c r="AN1264" s="19"/>
      <c r="AO1264" s="19"/>
    </row>
    <row r="1265" spans="16:41" x14ac:dyDescent="0.2">
      <c r="P1265" s="17"/>
      <c r="Z1265" s="17"/>
      <c r="AA1265" s="17"/>
      <c r="AB1265" s="17"/>
      <c r="AC1265" s="17"/>
      <c r="AD1265" s="17"/>
      <c r="AE1265" s="17"/>
      <c r="AF1265" s="17"/>
      <c r="AG1265" s="17"/>
      <c r="AH1265" s="17"/>
      <c r="AI1265" s="17"/>
      <c r="AJ1265" s="17"/>
      <c r="AK1265" s="17"/>
      <c r="AL1265" s="19"/>
      <c r="AM1265" s="19"/>
      <c r="AN1265" s="19"/>
      <c r="AO1265" s="19"/>
    </row>
    <row r="1266" spans="16:41" x14ac:dyDescent="0.2">
      <c r="P1266" s="17"/>
      <c r="Z1266" s="17"/>
      <c r="AA1266" s="17"/>
      <c r="AB1266" s="17"/>
      <c r="AC1266" s="17"/>
      <c r="AD1266" s="17"/>
      <c r="AE1266" s="17"/>
      <c r="AF1266" s="17"/>
      <c r="AG1266" s="17"/>
      <c r="AH1266" s="17"/>
      <c r="AI1266" s="17"/>
      <c r="AJ1266" s="17"/>
      <c r="AK1266" s="17"/>
      <c r="AL1266" s="19"/>
      <c r="AM1266" s="19"/>
      <c r="AN1266" s="19"/>
      <c r="AO1266" s="19"/>
    </row>
    <row r="1267" spans="16:41" x14ac:dyDescent="0.2">
      <c r="P1267" s="17"/>
      <c r="Z1267" s="17"/>
      <c r="AA1267" s="17"/>
      <c r="AB1267" s="17"/>
      <c r="AC1267" s="17"/>
      <c r="AD1267" s="17"/>
      <c r="AE1267" s="17"/>
      <c r="AF1267" s="17"/>
      <c r="AG1267" s="17"/>
      <c r="AH1267" s="17"/>
      <c r="AI1267" s="17"/>
      <c r="AJ1267" s="17"/>
      <c r="AK1267" s="17"/>
      <c r="AL1267" s="19"/>
      <c r="AM1267" s="19"/>
      <c r="AN1267" s="19"/>
      <c r="AO1267" s="19"/>
    </row>
    <row r="1268" spans="16:41" x14ac:dyDescent="0.2">
      <c r="P1268" s="17"/>
      <c r="Z1268" s="17"/>
      <c r="AA1268" s="17"/>
      <c r="AB1268" s="17"/>
      <c r="AC1268" s="17"/>
      <c r="AD1268" s="17"/>
      <c r="AE1268" s="17"/>
      <c r="AF1268" s="17"/>
      <c r="AG1268" s="17"/>
      <c r="AH1268" s="17"/>
      <c r="AI1268" s="17"/>
      <c r="AJ1268" s="17"/>
      <c r="AK1268" s="17"/>
      <c r="AL1268" s="19"/>
      <c r="AM1268" s="19"/>
      <c r="AN1268" s="19"/>
      <c r="AO1268" s="19"/>
    </row>
    <row r="1269" spans="16:41" x14ac:dyDescent="0.2">
      <c r="P1269" s="17"/>
      <c r="Z1269" s="17"/>
      <c r="AA1269" s="17"/>
      <c r="AB1269" s="17"/>
      <c r="AC1269" s="17"/>
      <c r="AD1269" s="17"/>
      <c r="AE1269" s="17"/>
      <c r="AF1269" s="17"/>
      <c r="AG1269" s="17"/>
      <c r="AH1269" s="17"/>
      <c r="AI1269" s="17"/>
      <c r="AJ1269" s="17"/>
      <c r="AK1269" s="17"/>
      <c r="AL1269" s="19"/>
      <c r="AM1269" s="19"/>
      <c r="AN1269" s="19"/>
      <c r="AO1269" s="19"/>
    </row>
    <row r="1270" spans="16:41" x14ac:dyDescent="0.2">
      <c r="P1270" s="17"/>
      <c r="Z1270" s="17"/>
      <c r="AA1270" s="17"/>
      <c r="AB1270" s="17"/>
      <c r="AC1270" s="17"/>
      <c r="AD1270" s="17"/>
      <c r="AE1270" s="17"/>
      <c r="AF1270" s="17"/>
      <c r="AG1270" s="17"/>
      <c r="AH1270" s="17"/>
      <c r="AI1270" s="17"/>
      <c r="AJ1270" s="17"/>
      <c r="AK1270" s="17"/>
      <c r="AL1270" s="19"/>
      <c r="AM1270" s="19"/>
      <c r="AN1270" s="19"/>
      <c r="AO1270" s="19"/>
    </row>
    <row r="1271" spans="16:41" x14ac:dyDescent="0.2">
      <c r="P1271" s="17"/>
      <c r="Z1271" s="17"/>
      <c r="AA1271" s="17"/>
      <c r="AB1271" s="17"/>
      <c r="AC1271" s="17"/>
      <c r="AD1271" s="17"/>
      <c r="AE1271" s="17"/>
      <c r="AF1271" s="17"/>
      <c r="AG1271" s="17"/>
      <c r="AH1271" s="17"/>
      <c r="AI1271" s="17"/>
      <c r="AJ1271" s="17"/>
      <c r="AK1271" s="17"/>
      <c r="AL1271" s="19"/>
      <c r="AM1271" s="19"/>
      <c r="AN1271" s="19"/>
      <c r="AO1271" s="19"/>
    </row>
    <row r="1272" spans="16:41" x14ac:dyDescent="0.2">
      <c r="P1272" s="17"/>
      <c r="Z1272" s="17"/>
      <c r="AA1272" s="17"/>
      <c r="AB1272" s="17"/>
      <c r="AC1272" s="17"/>
      <c r="AD1272" s="17"/>
      <c r="AE1272" s="17"/>
      <c r="AF1272" s="17"/>
      <c r="AG1272" s="17"/>
      <c r="AH1272" s="17"/>
      <c r="AI1272" s="17"/>
      <c r="AJ1272" s="17"/>
      <c r="AK1272" s="17"/>
      <c r="AL1272" s="19"/>
      <c r="AM1272" s="19"/>
      <c r="AN1272" s="19"/>
      <c r="AO1272" s="19"/>
    </row>
    <row r="1273" spans="16:41" x14ac:dyDescent="0.2">
      <c r="P1273" s="17"/>
      <c r="Z1273" s="17"/>
      <c r="AA1273" s="17"/>
      <c r="AB1273" s="17"/>
      <c r="AC1273" s="17"/>
      <c r="AD1273" s="17"/>
      <c r="AE1273" s="17"/>
      <c r="AF1273" s="17"/>
      <c r="AG1273" s="17"/>
      <c r="AH1273" s="17"/>
      <c r="AI1273" s="17"/>
      <c r="AJ1273" s="17"/>
      <c r="AK1273" s="17"/>
      <c r="AL1273" s="19"/>
      <c r="AM1273" s="19"/>
      <c r="AN1273" s="19"/>
      <c r="AO1273" s="19"/>
    </row>
    <row r="1274" spans="16:41" x14ac:dyDescent="0.2">
      <c r="P1274" s="17"/>
      <c r="Z1274" s="17"/>
      <c r="AA1274" s="17"/>
      <c r="AB1274" s="17"/>
      <c r="AC1274" s="17"/>
      <c r="AD1274" s="17"/>
      <c r="AE1274" s="17"/>
      <c r="AF1274" s="17"/>
      <c r="AG1274" s="17"/>
      <c r="AH1274" s="17"/>
      <c r="AI1274" s="17"/>
      <c r="AJ1274" s="17"/>
      <c r="AK1274" s="17"/>
      <c r="AL1274" s="19"/>
      <c r="AM1274" s="19"/>
      <c r="AN1274" s="19"/>
      <c r="AO1274" s="19"/>
    </row>
    <row r="1275" spans="16:41" x14ac:dyDescent="0.2">
      <c r="P1275" s="17"/>
      <c r="Z1275" s="17"/>
      <c r="AA1275" s="17"/>
      <c r="AB1275" s="17"/>
      <c r="AC1275" s="17"/>
      <c r="AD1275" s="17"/>
      <c r="AE1275" s="17"/>
      <c r="AF1275" s="17"/>
      <c r="AG1275" s="17"/>
      <c r="AH1275" s="17"/>
      <c r="AI1275" s="17"/>
      <c r="AJ1275" s="17"/>
      <c r="AK1275" s="17"/>
      <c r="AL1275" s="19"/>
      <c r="AM1275" s="19"/>
      <c r="AN1275" s="19"/>
      <c r="AO1275" s="19"/>
    </row>
    <row r="1276" spans="16:41" x14ac:dyDescent="0.2">
      <c r="P1276" s="17"/>
      <c r="Z1276" s="17"/>
      <c r="AA1276" s="17"/>
      <c r="AB1276" s="17"/>
      <c r="AC1276" s="17"/>
      <c r="AD1276" s="17"/>
      <c r="AE1276" s="17"/>
      <c r="AF1276" s="17"/>
      <c r="AG1276" s="17"/>
      <c r="AH1276" s="17"/>
      <c r="AI1276" s="17"/>
      <c r="AJ1276" s="17"/>
      <c r="AK1276" s="17"/>
      <c r="AL1276" s="19"/>
      <c r="AM1276" s="19"/>
      <c r="AN1276" s="19"/>
      <c r="AO1276" s="19"/>
    </row>
    <row r="1277" spans="16:41" x14ac:dyDescent="0.2">
      <c r="P1277" s="17"/>
      <c r="Z1277" s="17"/>
      <c r="AA1277" s="17"/>
      <c r="AB1277" s="17"/>
      <c r="AC1277" s="17"/>
      <c r="AD1277" s="17"/>
      <c r="AE1277" s="17"/>
      <c r="AF1277" s="17"/>
      <c r="AG1277" s="17"/>
      <c r="AH1277" s="17"/>
      <c r="AI1277" s="17"/>
      <c r="AJ1277" s="17"/>
      <c r="AK1277" s="17"/>
      <c r="AL1277" s="19"/>
      <c r="AM1277" s="19"/>
      <c r="AN1277" s="19"/>
      <c r="AO1277" s="19"/>
    </row>
    <row r="1278" spans="16:41" x14ac:dyDescent="0.2">
      <c r="P1278" s="17"/>
      <c r="Z1278" s="17"/>
      <c r="AA1278" s="17"/>
      <c r="AB1278" s="17"/>
      <c r="AC1278" s="17"/>
      <c r="AD1278" s="17"/>
      <c r="AE1278" s="17"/>
      <c r="AF1278" s="17"/>
      <c r="AG1278" s="17"/>
      <c r="AH1278" s="17"/>
      <c r="AI1278" s="17"/>
      <c r="AJ1278" s="17"/>
      <c r="AK1278" s="17"/>
      <c r="AL1278" s="19"/>
      <c r="AM1278" s="19"/>
      <c r="AN1278" s="19"/>
      <c r="AO1278" s="19"/>
    </row>
    <row r="1279" spans="16:41" x14ac:dyDescent="0.2">
      <c r="P1279" s="17"/>
      <c r="Z1279" s="17"/>
      <c r="AA1279" s="17"/>
      <c r="AB1279" s="17"/>
      <c r="AC1279" s="17"/>
      <c r="AD1279" s="17"/>
      <c r="AE1279" s="17"/>
      <c r="AF1279" s="17"/>
      <c r="AG1279" s="17"/>
      <c r="AH1279" s="17"/>
      <c r="AI1279" s="17"/>
      <c r="AJ1279" s="17"/>
      <c r="AK1279" s="17"/>
      <c r="AL1279" s="19"/>
      <c r="AM1279" s="19"/>
      <c r="AN1279" s="19"/>
      <c r="AO1279" s="19"/>
    </row>
    <row r="1280" spans="16:41" x14ac:dyDescent="0.2">
      <c r="P1280" s="17"/>
      <c r="Z1280" s="17"/>
      <c r="AA1280" s="17"/>
      <c r="AB1280" s="17"/>
      <c r="AC1280" s="17"/>
      <c r="AD1280" s="17"/>
      <c r="AE1280" s="17"/>
      <c r="AF1280" s="17"/>
      <c r="AG1280" s="17"/>
      <c r="AH1280" s="17"/>
      <c r="AI1280" s="17"/>
      <c r="AJ1280" s="17"/>
      <c r="AK1280" s="17"/>
      <c r="AL1280" s="19"/>
      <c r="AM1280" s="19"/>
      <c r="AN1280" s="19"/>
      <c r="AO1280" s="19"/>
    </row>
    <row r="1281" spans="16:41" x14ac:dyDescent="0.2">
      <c r="P1281" s="17"/>
      <c r="Z1281" s="17"/>
      <c r="AA1281" s="17"/>
      <c r="AB1281" s="17"/>
      <c r="AC1281" s="17"/>
      <c r="AD1281" s="17"/>
      <c r="AE1281" s="17"/>
      <c r="AF1281" s="17"/>
      <c r="AG1281" s="17"/>
      <c r="AH1281" s="17"/>
      <c r="AI1281" s="17"/>
      <c r="AJ1281" s="17"/>
      <c r="AK1281" s="17"/>
      <c r="AL1281" s="19"/>
      <c r="AM1281" s="19"/>
      <c r="AN1281" s="19"/>
      <c r="AO1281" s="19"/>
    </row>
    <row r="1282" spans="16:41" x14ac:dyDescent="0.2">
      <c r="P1282" s="17"/>
      <c r="Q1282" s="17"/>
      <c r="R1282" s="17"/>
      <c r="S1282" s="17"/>
      <c r="T1282" s="17"/>
      <c r="U1282" s="17"/>
      <c r="V1282" s="17"/>
      <c r="W1282" s="17"/>
      <c r="X1282" s="17"/>
      <c r="Y1282" s="17"/>
      <c r="Z1282" s="17"/>
      <c r="AA1282" s="17"/>
      <c r="AB1282" s="17"/>
      <c r="AC1282" s="17"/>
      <c r="AD1282" s="17"/>
      <c r="AE1282" s="17"/>
      <c r="AF1282" s="17"/>
      <c r="AG1282" s="17"/>
      <c r="AH1282" s="17"/>
      <c r="AI1282" s="17"/>
      <c r="AJ1282" s="17"/>
      <c r="AK1282" s="17"/>
      <c r="AL1282" s="19"/>
      <c r="AM1282" s="19"/>
      <c r="AN1282" s="19"/>
      <c r="AO1282" s="19"/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03" r:id="rId3" name="Button 12">
              <controlPr defaultSize="0" autoPict="0" macro="Module6.Macro41">
                <anchor moveWithCells="1" sizeWithCells="1">
                  <from>
                    <xdr:col>3</xdr:col>
                    <xdr:colOff>19050</xdr:colOff>
                    <xdr:row>4</xdr:row>
                    <xdr:rowOff>190500</xdr:rowOff>
                  </from>
                  <to>
                    <xdr:col>4</xdr:col>
                    <xdr:colOff>114300</xdr:colOff>
                    <xdr:row>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4" name="Button 46">
              <controlPr defaultSize="0" autoPict="0" macro="Module6.Macro41">
                <anchor moveWithCells="1" sizeWithCells="1">
                  <from>
                    <xdr:col>3</xdr:col>
                    <xdr:colOff>47625</xdr:colOff>
                    <xdr:row>17</xdr:row>
                    <xdr:rowOff>123825</xdr:rowOff>
                  </from>
                  <to>
                    <xdr:col>4</xdr:col>
                    <xdr:colOff>133350</xdr:colOff>
                    <xdr:row>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5" name="Button 47">
              <controlPr defaultSize="0" autoPict="0" macro="Module6.Macro41">
                <anchor moveWithCells="1" sizeWithCells="1">
                  <from>
                    <xdr:col>3</xdr:col>
                    <xdr:colOff>66675</xdr:colOff>
                    <xdr:row>27</xdr:row>
                    <xdr:rowOff>152400</xdr:rowOff>
                  </from>
                  <to>
                    <xdr:col>4</xdr:col>
                    <xdr:colOff>152400</xdr:colOff>
                    <xdr:row>30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6" name="Button 48">
              <controlPr defaultSize="0" autoPict="0" macro="Module6.Macro41">
                <anchor moveWithCells="1" sizeWithCells="1">
                  <from>
                    <xdr:col>2</xdr:col>
                    <xdr:colOff>723900</xdr:colOff>
                    <xdr:row>46</xdr:row>
                    <xdr:rowOff>142875</xdr:rowOff>
                  </from>
                  <to>
                    <xdr:col>4</xdr:col>
                    <xdr:colOff>0</xdr:colOff>
                    <xdr:row>49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7" name="Button 49">
              <controlPr defaultSize="0" autoPict="0" macro="Module6.Macro41">
                <anchor moveWithCells="1" sizeWithCells="1">
                  <from>
                    <xdr:col>2</xdr:col>
                    <xdr:colOff>209550</xdr:colOff>
                    <xdr:row>55</xdr:row>
                    <xdr:rowOff>133350</xdr:rowOff>
                  </from>
                  <to>
                    <xdr:col>3</xdr:col>
                    <xdr:colOff>295275</xdr:colOff>
                    <xdr:row>58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8" name="Button 50">
              <controlPr defaultSize="0" autoPict="0" macro="Module6.Macro41">
                <anchor moveWithCells="1" sizeWithCells="1">
                  <from>
                    <xdr:col>3</xdr:col>
                    <xdr:colOff>19050</xdr:colOff>
                    <xdr:row>65</xdr:row>
                    <xdr:rowOff>0</xdr:rowOff>
                  </from>
                  <to>
                    <xdr:col>4</xdr:col>
                    <xdr:colOff>104775</xdr:colOff>
                    <xdr:row>67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9" name="Button 51">
              <controlPr defaultSize="0" autoPict="0" macro="Module6.Macro41">
                <anchor moveWithCells="1" sizeWithCells="1">
                  <from>
                    <xdr:col>2</xdr:col>
                    <xdr:colOff>123825</xdr:colOff>
                    <xdr:row>81</xdr:row>
                    <xdr:rowOff>104775</xdr:rowOff>
                  </from>
                  <to>
                    <xdr:col>3</xdr:col>
                    <xdr:colOff>209550</xdr:colOff>
                    <xdr:row>84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10" name="Button 52">
              <controlPr defaultSize="0" autoPict="0" macro="Module6.Macro41">
                <anchor moveWithCells="1" sizeWithCells="1">
                  <from>
                    <xdr:col>3</xdr:col>
                    <xdr:colOff>47625</xdr:colOff>
                    <xdr:row>90</xdr:row>
                    <xdr:rowOff>114300</xdr:rowOff>
                  </from>
                  <to>
                    <xdr:col>4</xdr:col>
                    <xdr:colOff>133350</xdr:colOff>
                    <xdr:row>93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11" name="Button 53">
              <controlPr defaultSize="0" autoPict="0" macro="Module6.Macro41">
                <anchor moveWithCells="1" sizeWithCells="1">
                  <from>
                    <xdr:col>3</xdr:col>
                    <xdr:colOff>28575</xdr:colOff>
                    <xdr:row>106</xdr:row>
                    <xdr:rowOff>133350</xdr:rowOff>
                  </from>
                  <to>
                    <xdr:col>4</xdr:col>
                    <xdr:colOff>114300</xdr:colOff>
                    <xdr:row>109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12" name="Button 54">
              <controlPr defaultSize="0" autoPict="0" macro="Module6.Macro41">
                <anchor moveWithCells="1" sizeWithCells="1">
                  <from>
                    <xdr:col>1</xdr:col>
                    <xdr:colOff>781050</xdr:colOff>
                    <xdr:row>121</xdr:row>
                    <xdr:rowOff>152400</xdr:rowOff>
                  </from>
                  <to>
                    <xdr:col>3</xdr:col>
                    <xdr:colOff>47625</xdr:colOff>
                    <xdr:row>124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13" name="Button 55">
              <controlPr defaultSize="0" autoPict="0" macro="Module6.Macro41">
                <anchor moveWithCells="1" sizeWithCells="1">
                  <from>
                    <xdr:col>1</xdr:col>
                    <xdr:colOff>561975</xdr:colOff>
                    <xdr:row>131</xdr:row>
                    <xdr:rowOff>114300</xdr:rowOff>
                  </from>
                  <to>
                    <xdr:col>2</xdr:col>
                    <xdr:colOff>647700</xdr:colOff>
                    <xdr:row>134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14" name="Button 56">
              <controlPr defaultSize="0" autoPict="0" macro="Module6.Macro41">
                <anchor moveWithCells="1" sizeWithCells="1">
                  <from>
                    <xdr:col>2</xdr:col>
                    <xdr:colOff>552450</xdr:colOff>
                    <xdr:row>142</xdr:row>
                    <xdr:rowOff>104775</xdr:rowOff>
                  </from>
                  <to>
                    <xdr:col>3</xdr:col>
                    <xdr:colOff>638175</xdr:colOff>
                    <xdr:row>145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15" name="Button 57">
              <controlPr defaultSize="0" autoPict="0" macro="Module6.Macro41">
                <anchor moveWithCells="1" sizeWithCells="1">
                  <from>
                    <xdr:col>14</xdr:col>
                    <xdr:colOff>342900</xdr:colOff>
                    <xdr:row>23</xdr:row>
                    <xdr:rowOff>0</xdr:rowOff>
                  </from>
                  <to>
                    <xdr:col>15</xdr:col>
                    <xdr:colOff>666750</xdr:colOff>
                    <xdr:row>25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16" name="Button 58">
              <controlPr defaultSize="0" autoPict="0" macro="Module6.Macro41">
                <anchor moveWithCells="1" sizeWithCells="1">
                  <from>
                    <xdr:col>13</xdr:col>
                    <xdr:colOff>790575</xdr:colOff>
                    <xdr:row>47</xdr:row>
                    <xdr:rowOff>95250</xdr:rowOff>
                  </from>
                  <to>
                    <xdr:col>15</xdr:col>
                    <xdr:colOff>66675</xdr:colOff>
                    <xdr:row>50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17" name="Button 59">
              <controlPr defaultSize="0" autoPict="0" macro="Module6.Macro41">
                <anchor moveWithCells="1" sizeWithCells="1">
                  <from>
                    <xdr:col>12</xdr:col>
                    <xdr:colOff>742950</xdr:colOff>
                    <xdr:row>74</xdr:row>
                    <xdr:rowOff>133350</xdr:rowOff>
                  </from>
                  <to>
                    <xdr:col>14</xdr:col>
                    <xdr:colOff>19050</xdr:colOff>
                    <xdr:row>77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8" name="Button 60">
              <controlPr defaultSize="0" autoPict="0" macro="Module6.Macro41">
                <anchor moveWithCells="1" sizeWithCells="1">
                  <from>
                    <xdr:col>12</xdr:col>
                    <xdr:colOff>0</xdr:colOff>
                    <xdr:row>95</xdr:row>
                    <xdr:rowOff>152400</xdr:rowOff>
                  </from>
                  <to>
                    <xdr:col>13</xdr:col>
                    <xdr:colOff>85725</xdr:colOff>
                    <xdr:row>98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9" name="Button 61">
              <controlPr defaultSize="0" autoPict="0" macro="Module6.Macro41">
                <anchor moveWithCells="1" sizeWithCells="1">
                  <from>
                    <xdr:col>12</xdr:col>
                    <xdr:colOff>733425</xdr:colOff>
                    <xdr:row>107</xdr:row>
                    <xdr:rowOff>47625</xdr:rowOff>
                  </from>
                  <to>
                    <xdr:col>14</xdr:col>
                    <xdr:colOff>9525</xdr:colOff>
                    <xdr:row>110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20" name="Button 62">
              <controlPr defaultSize="0" autoPict="0" macro="Module6.Macro41">
                <anchor moveWithCells="1" sizeWithCells="1">
                  <from>
                    <xdr:col>12</xdr:col>
                    <xdr:colOff>76200</xdr:colOff>
                    <xdr:row>128</xdr:row>
                    <xdr:rowOff>28575</xdr:rowOff>
                  </from>
                  <to>
                    <xdr:col>13</xdr:col>
                    <xdr:colOff>161925</xdr:colOff>
                    <xdr:row>131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21" name="Button 63">
              <controlPr defaultSize="0" autoPict="0" macro="Module6.Macro41">
                <anchor moveWithCells="1" sizeWithCells="1">
                  <from>
                    <xdr:col>12</xdr:col>
                    <xdr:colOff>76200</xdr:colOff>
                    <xdr:row>136</xdr:row>
                    <xdr:rowOff>76200</xdr:rowOff>
                  </from>
                  <to>
                    <xdr:col>13</xdr:col>
                    <xdr:colOff>161925</xdr:colOff>
                    <xdr:row>138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22" name="Button 64">
              <controlPr defaultSize="0" autoPict="0" macro="Module6.Macro41">
                <anchor moveWithCells="1" sizeWithCells="1">
                  <from>
                    <xdr:col>12</xdr:col>
                    <xdr:colOff>47625</xdr:colOff>
                    <xdr:row>145</xdr:row>
                    <xdr:rowOff>38100</xdr:rowOff>
                  </from>
                  <to>
                    <xdr:col>13</xdr:col>
                    <xdr:colOff>133350</xdr:colOff>
                    <xdr:row>147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23" name="Button 65">
              <controlPr defaultSize="0" autoPict="0" macro="Module6.Macro41">
                <anchor moveWithCells="1" sizeWithCells="1">
                  <from>
                    <xdr:col>11</xdr:col>
                    <xdr:colOff>685800</xdr:colOff>
                    <xdr:row>165</xdr:row>
                    <xdr:rowOff>114300</xdr:rowOff>
                  </from>
                  <to>
                    <xdr:col>12</xdr:col>
                    <xdr:colOff>771525</xdr:colOff>
                    <xdr:row>168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24" name="Button 66">
              <controlPr defaultSize="0" autoPict="0" macro="Module6.Macro41">
                <anchor moveWithCells="1" sizeWithCells="1">
                  <from>
                    <xdr:col>12</xdr:col>
                    <xdr:colOff>781050</xdr:colOff>
                    <xdr:row>188</xdr:row>
                    <xdr:rowOff>57150</xdr:rowOff>
                  </from>
                  <to>
                    <xdr:col>14</xdr:col>
                    <xdr:colOff>57150</xdr:colOff>
                    <xdr:row>191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25" name="Button 67">
              <controlPr defaultSize="0" autoPict="0" macro="Module6.Macro41">
                <anchor moveWithCells="1" sizeWithCells="1">
                  <from>
                    <xdr:col>12</xdr:col>
                    <xdr:colOff>38100</xdr:colOff>
                    <xdr:row>200</xdr:row>
                    <xdr:rowOff>76200</xdr:rowOff>
                  </from>
                  <to>
                    <xdr:col>13</xdr:col>
                    <xdr:colOff>133350</xdr:colOff>
                    <xdr:row>203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26" name="Button 68">
              <controlPr defaultSize="0" autoPict="0" macro="Module6.Macro41">
                <anchor moveWithCells="1" sizeWithCells="1">
                  <from>
                    <xdr:col>12</xdr:col>
                    <xdr:colOff>485775</xdr:colOff>
                    <xdr:row>217</xdr:row>
                    <xdr:rowOff>38100</xdr:rowOff>
                  </from>
                  <to>
                    <xdr:col>13</xdr:col>
                    <xdr:colOff>571500</xdr:colOff>
                    <xdr:row>220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" r:id="rId27" name="Button 69">
              <controlPr defaultSize="0" autoPict="0" macro="Module6.Macro41">
                <anchor moveWithCells="1" sizeWithCells="1">
                  <from>
                    <xdr:col>13</xdr:col>
                    <xdr:colOff>428625</xdr:colOff>
                    <xdr:row>243</xdr:row>
                    <xdr:rowOff>133350</xdr:rowOff>
                  </from>
                  <to>
                    <xdr:col>14</xdr:col>
                    <xdr:colOff>514350</xdr:colOff>
                    <xdr:row>246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" r:id="rId28" name="Button 70">
              <controlPr defaultSize="0" autoPict="0" macro="Module6.Macro41">
                <anchor moveWithCells="1" sizeWithCells="1">
                  <from>
                    <xdr:col>12</xdr:col>
                    <xdr:colOff>142875</xdr:colOff>
                    <xdr:row>264</xdr:row>
                    <xdr:rowOff>0</xdr:rowOff>
                  </from>
                  <to>
                    <xdr:col>13</xdr:col>
                    <xdr:colOff>228600</xdr:colOff>
                    <xdr:row>266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" r:id="rId29" name="Button 71">
              <controlPr defaultSize="0" autoPict="0" macro="Module6.Macro41">
                <anchor moveWithCells="1" sizeWithCells="1">
                  <from>
                    <xdr:col>13</xdr:col>
                    <xdr:colOff>400050</xdr:colOff>
                    <xdr:row>283</xdr:row>
                    <xdr:rowOff>104775</xdr:rowOff>
                  </from>
                  <to>
                    <xdr:col>14</xdr:col>
                    <xdr:colOff>485775</xdr:colOff>
                    <xdr:row>286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" r:id="rId30" name="Button 72">
              <controlPr defaultSize="0" autoPict="0" macro="Module6.Macro41">
                <anchor moveWithCells="1" sizeWithCells="1">
                  <from>
                    <xdr:col>12</xdr:col>
                    <xdr:colOff>19050</xdr:colOff>
                    <xdr:row>302</xdr:row>
                    <xdr:rowOff>85725</xdr:rowOff>
                  </from>
                  <to>
                    <xdr:col>13</xdr:col>
                    <xdr:colOff>104775</xdr:colOff>
                    <xdr:row>305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" r:id="rId31" name="Button 73">
              <controlPr defaultSize="0" autoPict="0" macro="Module5.Macro6">
                <anchor moveWithCells="1" sizeWithCells="1">
                  <from>
                    <xdr:col>11</xdr:col>
                    <xdr:colOff>561975</xdr:colOff>
                    <xdr:row>324</xdr:row>
                    <xdr:rowOff>0</xdr:rowOff>
                  </from>
                  <to>
                    <xdr:col>12</xdr:col>
                    <xdr:colOff>647700</xdr:colOff>
                    <xdr:row>326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" r:id="rId32" name="Button 74">
              <controlPr defaultSize="0" autoPict="0" macro="Module5.Macro6">
                <anchor moveWithCells="1" sizeWithCells="1">
                  <from>
                    <xdr:col>11</xdr:col>
                    <xdr:colOff>676275</xdr:colOff>
                    <xdr:row>358</xdr:row>
                    <xdr:rowOff>171450</xdr:rowOff>
                  </from>
                  <to>
                    <xdr:col>12</xdr:col>
                    <xdr:colOff>762000</xdr:colOff>
                    <xdr:row>361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" r:id="rId33" name="Button 79">
              <controlPr defaultSize="0" autoPict="0" macro="Module6.Macro41">
                <anchor moveWithCells="1" sizeWithCells="1">
                  <from>
                    <xdr:col>27</xdr:col>
                    <xdr:colOff>304800</xdr:colOff>
                    <xdr:row>22</xdr:row>
                    <xdr:rowOff>38100</xdr:rowOff>
                  </from>
                  <to>
                    <xdr:col>28</xdr:col>
                    <xdr:colOff>390525</xdr:colOff>
                    <xdr:row>24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34" name="Button 12">
              <controlPr defaultSize="0" print="0" autoFill="0" autoPict="0" macro="Module6.Macro41" altText="OK">
                <anchor moveWithCells="1">
                  <from>
                    <xdr:col>3</xdr:col>
                    <xdr:colOff>19050</xdr:colOff>
                    <xdr:row>4</xdr:row>
                    <xdr:rowOff>190500</xdr:rowOff>
                  </from>
                  <to>
                    <xdr:col>4</xdr:col>
                    <xdr:colOff>114300</xdr:colOff>
                    <xdr:row>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35" name="Button 46">
              <controlPr defaultSize="0" print="0" autoFill="0" autoPict="0" macro="Module6.Macro41" altText="OK">
                <anchor moveWithCells="1">
                  <from>
                    <xdr:col>3</xdr:col>
                    <xdr:colOff>47625</xdr:colOff>
                    <xdr:row>17</xdr:row>
                    <xdr:rowOff>123825</xdr:rowOff>
                  </from>
                  <to>
                    <xdr:col>4</xdr:col>
                    <xdr:colOff>133350</xdr:colOff>
                    <xdr:row>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36" name="Button 47">
              <controlPr defaultSize="0" print="0" autoFill="0" autoPict="0" macro="Module6.Macro41" altText="OK">
                <anchor moveWithCells="1">
                  <from>
                    <xdr:col>3</xdr:col>
                    <xdr:colOff>66675</xdr:colOff>
                    <xdr:row>27</xdr:row>
                    <xdr:rowOff>152400</xdr:rowOff>
                  </from>
                  <to>
                    <xdr:col>4</xdr:col>
                    <xdr:colOff>152400</xdr:colOff>
                    <xdr:row>30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37" name="Button 48">
              <controlPr defaultSize="0" print="0" autoFill="0" autoPict="0" macro="Module6.Macro41" altText="OK">
                <anchor moveWithCells="1">
                  <from>
                    <xdr:col>2</xdr:col>
                    <xdr:colOff>723900</xdr:colOff>
                    <xdr:row>46</xdr:row>
                    <xdr:rowOff>142875</xdr:rowOff>
                  </from>
                  <to>
                    <xdr:col>4</xdr:col>
                    <xdr:colOff>0</xdr:colOff>
                    <xdr:row>49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38" name="Button 49">
              <controlPr defaultSize="0" print="0" autoFill="0" autoPict="0" macro="Module6.Macro41" altText="OK">
                <anchor moveWithCells="1">
                  <from>
                    <xdr:col>2</xdr:col>
                    <xdr:colOff>209550</xdr:colOff>
                    <xdr:row>55</xdr:row>
                    <xdr:rowOff>133350</xdr:rowOff>
                  </from>
                  <to>
                    <xdr:col>3</xdr:col>
                    <xdr:colOff>295275</xdr:colOff>
                    <xdr:row>58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39" name="Button 50">
              <controlPr defaultSize="0" print="0" autoFill="0" autoPict="0" macro="Module6.Macro41" altText="OK">
                <anchor moveWithCells="1">
                  <from>
                    <xdr:col>3</xdr:col>
                    <xdr:colOff>19050</xdr:colOff>
                    <xdr:row>65</xdr:row>
                    <xdr:rowOff>0</xdr:rowOff>
                  </from>
                  <to>
                    <xdr:col>4</xdr:col>
                    <xdr:colOff>104775</xdr:colOff>
                    <xdr:row>67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40" name="Button 51">
              <controlPr defaultSize="0" print="0" autoFill="0" autoPict="0" macro="Module6.Macro41" altText="OK">
                <anchor moveWithCells="1">
                  <from>
                    <xdr:col>2</xdr:col>
                    <xdr:colOff>123825</xdr:colOff>
                    <xdr:row>81</xdr:row>
                    <xdr:rowOff>104775</xdr:rowOff>
                  </from>
                  <to>
                    <xdr:col>3</xdr:col>
                    <xdr:colOff>209550</xdr:colOff>
                    <xdr:row>84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41" name="Button 52">
              <controlPr defaultSize="0" print="0" autoFill="0" autoPict="0" macro="Module6.Macro41" altText="OK">
                <anchor moveWithCells="1">
                  <from>
                    <xdr:col>3</xdr:col>
                    <xdr:colOff>47625</xdr:colOff>
                    <xdr:row>90</xdr:row>
                    <xdr:rowOff>114300</xdr:rowOff>
                  </from>
                  <to>
                    <xdr:col>4</xdr:col>
                    <xdr:colOff>133350</xdr:colOff>
                    <xdr:row>93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42" name="Button 53">
              <controlPr defaultSize="0" print="0" autoFill="0" autoPict="0" macro="Module6.Macro41" altText="OK">
                <anchor moveWithCells="1">
                  <from>
                    <xdr:col>3</xdr:col>
                    <xdr:colOff>28575</xdr:colOff>
                    <xdr:row>106</xdr:row>
                    <xdr:rowOff>133350</xdr:rowOff>
                  </from>
                  <to>
                    <xdr:col>4</xdr:col>
                    <xdr:colOff>114300</xdr:colOff>
                    <xdr:row>109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43" name="Button 54">
              <controlPr defaultSize="0" print="0" autoFill="0" autoPict="0" macro="Module6.Macro41" altText="OK">
                <anchor moveWithCells="1">
                  <from>
                    <xdr:col>1</xdr:col>
                    <xdr:colOff>781050</xdr:colOff>
                    <xdr:row>121</xdr:row>
                    <xdr:rowOff>152400</xdr:rowOff>
                  </from>
                  <to>
                    <xdr:col>3</xdr:col>
                    <xdr:colOff>47625</xdr:colOff>
                    <xdr:row>124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44" name="Button 55">
              <controlPr defaultSize="0" print="0" autoFill="0" autoPict="0" macro="Module6.Macro41" altText="OK">
                <anchor moveWithCells="1">
                  <from>
                    <xdr:col>1</xdr:col>
                    <xdr:colOff>561975</xdr:colOff>
                    <xdr:row>131</xdr:row>
                    <xdr:rowOff>114300</xdr:rowOff>
                  </from>
                  <to>
                    <xdr:col>2</xdr:col>
                    <xdr:colOff>647700</xdr:colOff>
                    <xdr:row>134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45" name="Button 56">
              <controlPr defaultSize="0" print="0" autoFill="0" autoPict="0" macro="Module6.Macro41" altText="OK">
                <anchor moveWithCells="1">
                  <from>
                    <xdr:col>2</xdr:col>
                    <xdr:colOff>552450</xdr:colOff>
                    <xdr:row>142</xdr:row>
                    <xdr:rowOff>104775</xdr:rowOff>
                  </from>
                  <to>
                    <xdr:col>3</xdr:col>
                    <xdr:colOff>638175</xdr:colOff>
                    <xdr:row>145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46" name="Button 57">
              <controlPr defaultSize="0" print="0" autoFill="0" autoPict="0" macro="Module6.Macro41" altText="OK">
                <anchor moveWithCells="1">
                  <from>
                    <xdr:col>14</xdr:col>
                    <xdr:colOff>342900</xdr:colOff>
                    <xdr:row>23</xdr:row>
                    <xdr:rowOff>0</xdr:rowOff>
                  </from>
                  <to>
                    <xdr:col>15</xdr:col>
                    <xdr:colOff>666750</xdr:colOff>
                    <xdr:row>25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47" name="Button 58">
              <controlPr defaultSize="0" print="0" autoFill="0" autoPict="0" macro="Module6.Macro41" altText="OK">
                <anchor moveWithCells="1">
                  <from>
                    <xdr:col>13</xdr:col>
                    <xdr:colOff>790575</xdr:colOff>
                    <xdr:row>47</xdr:row>
                    <xdr:rowOff>95250</xdr:rowOff>
                  </from>
                  <to>
                    <xdr:col>15</xdr:col>
                    <xdr:colOff>66675</xdr:colOff>
                    <xdr:row>50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48" name="Button 59">
              <controlPr defaultSize="0" print="0" autoFill="0" autoPict="0" macro="Module6.Macro41" altText="OK">
                <anchor moveWithCells="1">
                  <from>
                    <xdr:col>12</xdr:col>
                    <xdr:colOff>742950</xdr:colOff>
                    <xdr:row>74</xdr:row>
                    <xdr:rowOff>133350</xdr:rowOff>
                  </from>
                  <to>
                    <xdr:col>14</xdr:col>
                    <xdr:colOff>19050</xdr:colOff>
                    <xdr:row>77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49" name="Button 60">
              <controlPr defaultSize="0" print="0" autoFill="0" autoPict="0" macro="Module6.Macro41" altText="OK">
                <anchor moveWithCells="1">
                  <from>
                    <xdr:col>12</xdr:col>
                    <xdr:colOff>0</xdr:colOff>
                    <xdr:row>95</xdr:row>
                    <xdr:rowOff>152400</xdr:rowOff>
                  </from>
                  <to>
                    <xdr:col>13</xdr:col>
                    <xdr:colOff>85725</xdr:colOff>
                    <xdr:row>98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50" name="Button 61">
              <controlPr defaultSize="0" print="0" autoFill="0" autoPict="0" macro="Module6.Macro41" altText="OK">
                <anchor moveWithCells="1">
                  <from>
                    <xdr:col>12</xdr:col>
                    <xdr:colOff>733425</xdr:colOff>
                    <xdr:row>107</xdr:row>
                    <xdr:rowOff>47625</xdr:rowOff>
                  </from>
                  <to>
                    <xdr:col>14</xdr:col>
                    <xdr:colOff>9525</xdr:colOff>
                    <xdr:row>110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51" name="Button 62">
              <controlPr defaultSize="0" print="0" autoFill="0" autoPict="0" macro="Module6.Macro41" altText="OK">
                <anchor moveWithCells="1">
                  <from>
                    <xdr:col>12</xdr:col>
                    <xdr:colOff>76200</xdr:colOff>
                    <xdr:row>128</xdr:row>
                    <xdr:rowOff>28575</xdr:rowOff>
                  </from>
                  <to>
                    <xdr:col>13</xdr:col>
                    <xdr:colOff>161925</xdr:colOff>
                    <xdr:row>131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52" name="Button 63">
              <controlPr defaultSize="0" print="0" autoFill="0" autoPict="0" macro="Module6.Macro41" altText="OK">
                <anchor moveWithCells="1">
                  <from>
                    <xdr:col>12</xdr:col>
                    <xdr:colOff>76200</xdr:colOff>
                    <xdr:row>136</xdr:row>
                    <xdr:rowOff>76200</xdr:rowOff>
                  </from>
                  <to>
                    <xdr:col>13</xdr:col>
                    <xdr:colOff>161925</xdr:colOff>
                    <xdr:row>138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53" name="Button 64">
              <controlPr defaultSize="0" print="0" autoFill="0" autoPict="0" macro="Module6.Macro41" altText="OK">
                <anchor moveWithCells="1">
                  <from>
                    <xdr:col>12</xdr:col>
                    <xdr:colOff>47625</xdr:colOff>
                    <xdr:row>145</xdr:row>
                    <xdr:rowOff>38100</xdr:rowOff>
                  </from>
                  <to>
                    <xdr:col>13</xdr:col>
                    <xdr:colOff>133350</xdr:colOff>
                    <xdr:row>147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4" r:id="rId54" name="Button 65">
              <controlPr defaultSize="0" print="0" autoFill="0" autoPict="0" macro="Module6.Macro41" altText="OK">
                <anchor moveWithCells="1">
                  <from>
                    <xdr:col>11</xdr:col>
                    <xdr:colOff>685800</xdr:colOff>
                    <xdr:row>165</xdr:row>
                    <xdr:rowOff>114300</xdr:rowOff>
                  </from>
                  <to>
                    <xdr:col>12</xdr:col>
                    <xdr:colOff>771525</xdr:colOff>
                    <xdr:row>168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55" name="Button 66">
              <controlPr defaultSize="0" print="0" autoFill="0" autoPict="0" macro="Module6.Macro41" altText="OK">
                <anchor moveWithCells="1">
                  <from>
                    <xdr:col>12</xdr:col>
                    <xdr:colOff>781050</xdr:colOff>
                    <xdr:row>188</xdr:row>
                    <xdr:rowOff>57150</xdr:rowOff>
                  </from>
                  <to>
                    <xdr:col>14</xdr:col>
                    <xdr:colOff>57150</xdr:colOff>
                    <xdr:row>191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56" name="Button 67">
              <controlPr defaultSize="0" print="0" autoFill="0" autoPict="0" macro="Module6.Macro41" altText="OK">
                <anchor moveWithCells="1">
                  <from>
                    <xdr:col>12</xdr:col>
                    <xdr:colOff>38100</xdr:colOff>
                    <xdr:row>200</xdr:row>
                    <xdr:rowOff>76200</xdr:rowOff>
                  </from>
                  <to>
                    <xdr:col>13</xdr:col>
                    <xdr:colOff>133350</xdr:colOff>
                    <xdr:row>203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" r:id="rId57" name="Button 68">
              <controlPr defaultSize="0" print="0" autoFill="0" autoPict="0" macro="Module6.Macro41" altText="OK">
                <anchor moveWithCells="1">
                  <from>
                    <xdr:col>12</xdr:col>
                    <xdr:colOff>485775</xdr:colOff>
                    <xdr:row>217</xdr:row>
                    <xdr:rowOff>38100</xdr:rowOff>
                  </from>
                  <to>
                    <xdr:col>13</xdr:col>
                    <xdr:colOff>571500</xdr:colOff>
                    <xdr:row>220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" r:id="rId58" name="Button 69">
              <controlPr defaultSize="0" print="0" autoFill="0" autoPict="0" macro="Module6.Macro41" altText="OK">
                <anchor moveWithCells="1">
                  <from>
                    <xdr:col>13</xdr:col>
                    <xdr:colOff>428625</xdr:colOff>
                    <xdr:row>243</xdr:row>
                    <xdr:rowOff>133350</xdr:rowOff>
                  </from>
                  <to>
                    <xdr:col>14</xdr:col>
                    <xdr:colOff>514350</xdr:colOff>
                    <xdr:row>246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9" name="Button 70">
              <controlPr defaultSize="0" print="0" autoFill="0" autoPict="0" macro="Module6.Macro41" altText="OK">
                <anchor moveWithCells="1">
                  <from>
                    <xdr:col>12</xdr:col>
                    <xdr:colOff>142875</xdr:colOff>
                    <xdr:row>264</xdr:row>
                    <xdr:rowOff>0</xdr:rowOff>
                  </from>
                  <to>
                    <xdr:col>13</xdr:col>
                    <xdr:colOff>228600</xdr:colOff>
                    <xdr:row>266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0" name="Button 71">
              <controlPr defaultSize="0" print="0" autoFill="0" autoPict="0" macro="Module6.Macro41" altText="OK">
                <anchor moveWithCells="1">
                  <from>
                    <xdr:col>13</xdr:col>
                    <xdr:colOff>400050</xdr:colOff>
                    <xdr:row>283</xdr:row>
                    <xdr:rowOff>104775</xdr:rowOff>
                  </from>
                  <to>
                    <xdr:col>14</xdr:col>
                    <xdr:colOff>485775</xdr:colOff>
                    <xdr:row>286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1" name="Button 72">
              <controlPr defaultSize="0" print="0" autoFill="0" autoPict="0" macro="Module6.Macro41" altText="OK">
                <anchor moveWithCells="1">
                  <from>
                    <xdr:col>12</xdr:col>
                    <xdr:colOff>19050</xdr:colOff>
                    <xdr:row>302</xdr:row>
                    <xdr:rowOff>85725</xdr:rowOff>
                  </from>
                  <to>
                    <xdr:col>13</xdr:col>
                    <xdr:colOff>104775</xdr:colOff>
                    <xdr:row>305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62" name="Button 73">
              <controlPr defaultSize="0" print="0" autoFill="0" autoPict="0" macro="Module5.Macro6" altText="OK">
                <anchor moveWithCells="1">
                  <from>
                    <xdr:col>11</xdr:col>
                    <xdr:colOff>561975</xdr:colOff>
                    <xdr:row>324</xdr:row>
                    <xdr:rowOff>0</xdr:rowOff>
                  </from>
                  <to>
                    <xdr:col>12</xdr:col>
                    <xdr:colOff>647700</xdr:colOff>
                    <xdr:row>326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63" name="Button 74">
              <controlPr defaultSize="0" print="0" autoFill="0" autoPict="0" macro="Module5.Macro6" altText="OK">
                <anchor moveWithCells="1">
                  <from>
                    <xdr:col>11</xdr:col>
                    <xdr:colOff>676275</xdr:colOff>
                    <xdr:row>358</xdr:row>
                    <xdr:rowOff>171450</xdr:rowOff>
                  </from>
                  <to>
                    <xdr:col>12</xdr:col>
                    <xdr:colOff>762000</xdr:colOff>
                    <xdr:row>361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64" name="Button 79">
              <controlPr defaultSize="0" print="0" autoFill="0" autoPict="0" macro="Module6.Macro41" altText="OK">
                <anchor moveWithCells="1">
                  <from>
                    <xdr:col>27</xdr:col>
                    <xdr:colOff>304800</xdr:colOff>
                    <xdr:row>22</xdr:row>
                    <xdr:rowOff>38100</xdr:rowOff>
                  </from>
                  <to>
                    <xdr:col>28</xdr:col>
                    <xdr:colOff>390525</xdr:colOff>
                    <xdr:row>24</xdr:row>
                    <xdr:rowOff>85725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AC382"/>
  <sheetViews>
    <sheetView zoomScaleNormal="100" workbookViewId="0"/>
  </sheetViews>
  <sheetFormatPr defaultColWidth="11.5703125" defaultRowHeight="12.75" customHeight="1" x14ac:dyDescent="0.2"/>
  <sheetData>
    <row r="1" spans="2:29" x14ac:dyDescent="0.2">
      <c r="H1" s="17"/>
      <c r="I1" s="17"/>
      <c r="J1" s="17"/>
      <c r="K1" s="17"/>
      <c r="L1" s="17"/>
      <c r="M1" s="17"/>
      <c r="N1" s="17"/>
      <c r="O1" s="17"/>
      <c r="P1" s="17"/>
      <c r="V1" s="17"/>
    </row>
    <row r="2" spans="2:29" ht="15" x14ac:dyDescent="0.25">
      <c r="H2" s="17"/>
      <c r="I2" s="855"/>
      <c r="J2" s="855"/>
      <c r="K2" s="856" t="s">
        <v>5</v>
      </c>
      <c r="L2" s="855"/>
      <c r="M2" s="855"/>
      <c r="N2" s="855"/>
      <c r="O2" s="855"/>
      <c r="P2" s="17"/>
      <c r="V2" s="17"/>
      <c r="W2" s="17"/>
      <c r="X2" s="17"/>
      <c r="Y2" s="17" t="s">
        <v>373</v>
      </c>
      <c r="Z2" s="17"/>
      <c r="AA2" s="17"/>
      <c r="AB2" s="17"/>
      <c r="AC2" s="17"/>
    </row>
    <row r="3" spans="2:29" ht="18.75" x14ac:dyDescent="0.3">
      <c r="B3" s="857" t="s">
        <v>4</v>
      </c>
      <c r="C3" s="858"/>
      <c r="D3" s="859"/>
      <c r="H3" s="17"/>
      <c r="I3" s="860" t="s">
        <v>8</v>
      </c>
      <c r="J3" s="861" t="s">
        <v>9</v>
      </c>
      <c r="K3" s="862" t="s">
        <v>238</v>
      </c>
      <c r="L3" s="863" t="s">
        <v>11</v>
      </c>
      <c r="M3" s="864" t="s">
        <v>374</v>
      </c>
      <c r="N3" s="865" t="s">
        <v>13</v>
      </c>
      <c r="O3" s="866" t="s">
        <v>14</v>
      </c>
      <c r="P3" s="17"/>
      <c r="V3" s="17"/>
      <c r="W3" s="867" t="s">
        <v>17</v>
      </c>
      <c r="X3" s="868"/>
      <c r="Y3" s="868"/>
      <c r="Z3" s="869"/>
      <c r="AA3" s="870"/>
      <c r="AB3" s="869"/>
      <c r="AC3" s="871"/>
    </row>
    <row r="4" spans="2:29" ht="18.75" x14ac:dyDescent="0.3">
      <c r="B4" s="20" t="s">
        <v>6</v>
      </c>
      <c r="C4" s="22">
        <v>5.87</v>
      </c>
      <c r="D4" s="23" t="s">
        <v>7</v>
      </c>
      <c r="H4" s="17"/>
      <c r="I4" s="872">
        <v>600</v>
      </c>
      <c r="J4" s="873">
        <v>59</v>
      </c>
      <c r="K4" s="874">
        <v>1021.92</v>
      </c>
      <c r="L4" s="875">
        <v>300.89999999999998</v>
      </c>
      <c r="M4" s="876">
        <v>315.87249269311098</v>
      </c>
      <c r="N4" s="877">
        <v>202.42950249593201</v>
      </c>
      <c r="O4" s="878">
        <v>201.157730175372</v>
      </c>
      <c r="P4" s="17"/>
      <c r="V4" s="17"/>
      <c r="W4" s="879" t="s">
        <v>169</v>
      </c>
      <c r="X4" s="880"/>
      <c r="Y4" s="881"/>
      <c r="Z4" s="882" t="s">
        <v>14</v>
      </c>
      <c r="AA4" s="882" t="s">
        <v>12</v>
      </c>
      <c r="AB4" s="882" t="s">
        <v>13</v>
      </c>
      <c r="AC4" s="883"/>
    </row>
    <row r="5" spans="2:29" ht="18.75" x14ac:dyDescent="0.3">
      <c r="B5" s="30" t="s">
        <v>16</v>
      </c>
      <c r="C5" s="32">
        <v>14500</v>
      </c>
      <c r="D5" s="33" t="str">
        <f>IF([1]DDDDDD!C7="FIELD","ft","m")</f>
        <v>m</v>
      </c>
      <c r="H5" s="17"/>
      <c r="I5" s="884">
        <v>300</v>
      </c>
      <c r="J5" s="873">
        <v>37</v>
      </c>
      <c r="K5" s="885">
        <v>510.96</v>
      </c>
      <c r="L5" s="886">
        <v>188.7</v>
      </c>
      <c r="M5" s="876">
        <v>196.18624634655501</v>
      </c>
      <c r="N5" s="877">
        <v>188.7</v>
      </c>
      <c r="O5" s="878">
        <v>188.7</v>
      </c>
      <c r="P5" s="17"/>
      <c r="V5" s="17"/>
      <c r="W5" s="887" t="s">
        <v>21</v>
      </c>
      <c r="X5" s="888"/>
      <c r="Y5" s="889"/>
      <c r="Z5" s="890">
        <v>7690.8</v>
      </c>
      <c r="AA5" s="891">
        <v>7690.8</v>
      </c>
      <c r="AB5" s="890">
        <v>7690.8</v>
      </c>
      <c r="AC5" s="704" t="s">
        <v>22</v>
      </c>
    </row>
    <row r="6" spans="2:29" ht="18.75" x14ac:dyDescent="0.3">
      <c r="B6" s="103" t="s">
        <v>18</v>
      </c>
      <c r="C6" s="892">
        <v>14520</v>
      </c>
      <c r="D6" s="893" t="str">
        <f>IF([1]DDDDDD!C7="FIELD","ft","m")</f>
        <v>m</v>
      </c>
      <c r="H6" s="17"/>
      <c r="I6" s="884">
        <v>0</v>
      </c>
      <c r="J6" s="873">
        <v>0</v>
      </c>
      <c r="K6" s="885">
        <v>0</v>
      </c>
      <c r="L6" s="886">
        <v>0</v>
      </c>
      <c r="M6" s="876">
        <v>0</v>
      </c>
      <c r="N6" s="877">
        <v>0</v>
      </c>
      <c r="O6" s="878">
        <v>0</v>
      </c>
      <c r="P6" s="17"/>
      <c r="V6" s="17"/>
      <c r="W6" s="887" t="s">
        <v>24</v>
      </c>
      <c r="X6" s="888"/>
      <c r="Y6" s="889"/>
      <c r="Z6" s="890">
        <v>8034.3458669122701</v>
      </c>
      <c r="AA6" s="891">
        <v>8130.9555171089996</v>
      </c>
      <c r="AB6" s="890">
        <v>8074.3964531216498</v>
      </c>
      <c r="AC6" s="704" t="s">
        <v>22</v>
      </c>
    </row>
    <row r="7" spans="2:29" ht="15" x14ac:dyDescent="0.25">
      <c r="H7" s="17"/>
      <c r="I7" s="884">
        <v>0</v>
      </c>
      <c r="J7" s="873">
        <v>0</v>
      </c>
      <c r="K7" s="885">
        <v>0</v>
      </c>
      <c r="L7" s="886">
        <v>0</v>
      </c>
      <c r="M7" s="876">
        <v>0</v>
      </c>
      <c r="N7" s="877">
        <v>0</v>
      </c>
      <c r="O7" s="878">
        <v>0</v>
      </c>
      <c r="P7" s="17"/>
      <c r="V7" s="17"/>
      <c r="W7" s="887" t="s">
        <v>26</v>
      </c>
      <c r="X7" s="888"/>
      <c r="Y7" s="889"/>
      <c r="Z7" s="890">
        <v>10.655631123225801</v>
      </c>
      <c r="AA7" s="891">
        <v>10.783760632770599</v>
      </c>
      <c r="AB7" s="890">
        <v>10.7087486115672</v>
      </c>
      <c r="AC7" s="704" t="s">
        <v>27</v>
      </c>
    </row>
    <row r="8" spans="2:29" ht="15" x14ac:dyDescent="0.25">
      <c r="H8" s="17"/>
      <c r="I8" s="884">
        <v>0</v>
      </c>
      <c r="J8" s="873">
        <v>0</v>
      </c>
      <c r="K8" s="885">
        <v>0</v>
      </c>
      <c r="L8" s="886">
        <v>0</v>
      </c>
      <c r="M8" s="876">
        <v>0</v>
      </c>
      <c r="N8" s="877">
        <v>0</v>
      </c>
      <c r="O8" s="878">
        <v>0</v>
      </c>
      <c r="P8" s="17"/>
      <c r="V8" s="17"/>
      <c r="W8" s="887" t="s">
        <v>29</v>
      </c>
      <c r="X8" s="888"/>
      <c r="Y8" s="889"/>
      <c r="Z8" s="890">
        <v>218.078535038468</v>
      </c>
      <c r="AA8" s="891">
        <v>288.22700448955902</v>
      </c>
      <c r="AB8" s="890">
        <v>231.634743056248</v>
      </c>
      <c r="AC8" s="704" t="s">
        <v>22</v>
      </c>
    </row>
    <row r="9" spans="2:29" ht="15" x14ac:dyDescent="0.25">
      <c r="H9" s="17"/>
      <c r="I9" s="894">
        <v>0</v>
      </c>
      <c r="J9" s="895">
        <v>0</v>
      </c>
      <c r="K9" s="896">
        <v>0</v>
      </c>
      <c r="L9" s="897">
        <v>0</v>
      </c>
      <c r="M9" s="898">
        <v>0</v>
      </c>
      <c r="N9" s="899">
        <v>0</v>
      </c>
      <c r="O9" s="900">
        <v>0</v>
      </c>
      <c r="P9" s="17"/>
      <c r="V9" s="17"/>
      <c r="W9" s="887" t="s">
        <v>31</v>
      </c>
      <c r="X9" s="888"/>
      <c r="Y9" s="889"/>
      <c r="Z9" s="890">
        <v>60.9845950480656</v>
      </c>
      <c r="AA9" s="891">
        <v>115.25805745554</v>
      </c>
      <c r="AB9" s="890">
        <v>113.425280479062</v>
      </c>
      <c r="AC9" s="704" t="s">
        <v>22</v>
      </c>
    </row>
    <row r="10" spans="2:29" ht="15" x14ac:dyDescent="0.25">
      <c r="H10" s="17"/>
      <c r="I10" s="855"/>
      <c r="J10" s="855"/>
      <c r="K10" s="855"/>
      <c r="L10" s="901" t="s">
        <v>30</v>
      </c>
      <c r="M10" s="902">
        <v>0.99997317485079795</v>
      </c>
      <c r="N10" s="903">
        <v>0.94773028757161004</v>
      </c>
      <c r="O10" s="904">
        <v>0.94600389164267895</v>
      </c>
      <c r="P10" s="17"/>
      <c r="V10" s="17"/>
      <c r="W10" s="887" t="s">
        <v>32</v>
      </c>
      <c r="X10" s="888"/>
      <c r="Y10" s="889"/>
      <c r="Z10" s="890">
        <v>459.10057642844203</v>
      </c>
      <c r="AA10" s="891">
        <v>526.21282789078305</v>
      </c>
      <c r="AB10" s="890">
        <v>444.26183045211297</v>
      </c>
      <c r="AC10" s="704" t="s">
        <v>22</v>
      </c>
    </row>
    <row r="11" spans="2:29" ht="15" x14ac:dyDescent="0.25">
      <c r="H11" s="17"/>
      <c r="I11" s="855"/>
      <c r="J11" s="855"/>
      <c r="K11" s="855"/>
      <c r="L11" s="855"/>
      <c r="M11" s="905" t="s">
        <v>34</v>
      </c>
      <c r="N11" s="66" t="s">
        <v>375</v>
      </c>
      <c r="O11" s="855"/>
      <c r="P11" s="17"/>
      <c r="V11" s="17"/>
      <c r="W11" s="887" t="s">
        <v>35</v>
      </c>
      <c r="X11" s="888"/>
      <c r="Y11" s="889"/>
      <c r="Z11" s="890" t="s">
        <v>370</v>
      </c>
      <c r="AA11" s="891" t="s">
        <v>370</v>
      </c>
      <c r="AB11" s="890" t="s">
        <v>370</v>
      </c>
      <c r="AC11" s="704" t="s">
        <v>22</v>
      </c>
    </row>
    <row r="12" spans="2:29" ht="15" x14ac:dyDescent="0.25">
      <c r="H12" s="17"/>
      <c r="I12" s="905"/>
      <c r="J12" s="905"/>
      <c r="K12" s="905"/>
      <c r="L12" s="905"/>
      <c r="M12" s="905"/>
      <c r="N12" s="905"/>
      <c r="O12" s="905"/>
      <c r="P12" s="17"/>
      <c r="V12" s="17"/>
      <c r="W12" s="887" t="s">
        <v>37</v>
      </c>
      <c r="X12" s="888"/>
      <c r="Y12" s="889"/>
      <c r="Z12" s="890">
        <v>232.561271864209</v>
      </c>
      <c r="AA12" s="891">
        <v>289.89745965345799</v>
      </c>
      <c r="AB12" s="890">
        <v>211.17117264259301</v>
      </c>
      <c r="AC12" s="704" t="s">
        <v>22</v>
      </c>
    </row>
    <row r="13" spans="2:29" ht="18.75" x14ac:dyDescent="0.3">
      <c r="B13" s="62" t="s">
        <v>33</v>
      </c>
      <c r="C13" s="268"/>
      <c r="D13" s="64"/>
      <c r="E13" s="906"/>
      <c r="H13" s="17"/>
      <c r="I13" s="905"/>
      <c r="J13" s="905"/>
      <c r="K13" s="905"/>
      <c r="L13" s="905"/>
      <c r="M13" s="905"/>
      <c r="N13" s="905"/>
      <c r="O13" s="905"/>
      <c r="P13" s="17"/>
      <c r="V13" s="17"/>
      <c r="W13" s="887" t="s">
        <v>39</v>
      </c>
      <c r="X13" s="888"/>
      <c r="Y13" s="889"/>
      <c r="Z13" s="890">
        <v>905.17120724191795</v>
      </c>
      <c r="AA13" s="891">
        <v>1112.565687283</v>
      </c>
      <c r="AB13" s="890">
        <v>939.55041984171203</v>
      </c>
      <c r="AC13" s="704" t="s">
        <v>22</v>
      </c>
    </row>
    <row r="14" spans="2:29" ht="18.75" x14ac:dyDescent="0.3">
      <c r="B14" s="907" t="s">
        <v>36</v>
      </c>
      <c r="C14" s="908"/>
      <c r="D14" s="909">
        <v>12412</v>
      </c>
      <c r="E14" s="910" t="s">
        <v>333</v>
      </c>
      <c r="H14" s="17"/>
      <c r="I14" s="855"/>
      <c r="J14" s="911" t="s">
        <v>376</v>
      </c>
      <c r="K14" s="905"/>
      <c r="L14" s="912">
        <v>14500</v>
      </c>
      <c r="M14" s="855" t="s">
        <v>42</v>
      </c>
      <c r="N14" s="855"/>
      <c r="O14" s="855"/>
      <c r="P14" s="17"/>
      <c r="V14" s="17"/>
      <c r="W14" s="887" t="s">
        <v>43</v>
      </c>
      <c r="X14" s="888"/>
      <c r="Y14" s="889"/>
      <c r="Z14" s="890">
        <v>1925.8961856210999</v>
      </c>
      <c r="AA14" s="891">
        <v>2367.1610367723401</v>
      </c>
      <c r="AB14" s="890">
        <v>1999.04344647173</v>
      </c>
      <c r="AC14" s="704" t="s">
        <v>22</v>
      </c>
    </row>
    <row r="15" spans="2:29" ht="18.75" x14ac:dyDescent="0.3">
      <c r="B15" s="913" t="s">
        <v>38</v>
      </c>
      <c r="C15" s="914"/>
      <c r="D15" s="915">
        <v>8.85</v>
      </c>
      <c r="E15" s="910" t="s">
        <v>333</v>
      </c>
      <c r="H15" s="17"/>
      <c r="I15" s="916" t="s">
        <v>8</v>
      </c>
      <c r="J15" s="917" t="s">
        <v>377</v>
      </c>
      <c r="K15" s="918" t="s">
        <v>10</v>
      </c>
      <c r="L15" s="919" t="s">
        <v>195</v>
      </c>
      <c r="M15" s="920" t="s">
        <v>374</v>
      </c>
      <c r="N15" s="921" t="s">
        <v>13</v>
      </c>
      <c r="O15" s="922" t="s">
        <v>14</v>
      </c>
      <c r="P15" s="17"/>
      <c r="V15" s="17"/>
      <c r="W15" s="923" t="s">
        <v>378</v>
      </c>
      <c r="X15" s="924"/>
      <c r="Y15" s="925"/>
      <c r="Z15" s="926">
        <v>0</v>
      </c>
      <c r="AA15" s="927">
        <v>0</v>
      </c>
      <c r="AB15" s="928">
        <v>0</v>
      </c>
      <c r="AC15" s="929" t="s">
        <v>46</v>
      </c>
    </row>
    <row r="16" spans="2:29" ht="18.75" x14ac:dyDescent="0.3">
      <c r="B16" s="73" t="s">
        <v>40</v>
      </c>
      <c r="C16" s="74"/>
      <c r="D16" s="930">
        <v>9.6300000000000008</v>
      </c>
      <c r="E16" s="931" t="s">
        <v>333</v>
      </c>
      <c r="H16" s="17"/>
      <c r="I16" s="872">
        <v>600</v>
      </c>
      <c r="J16" s="873">
        <v>22.233571232433999</v>
      </c>
      <c r="K16" s="874">
        <v>1021.92</v>
      </c>
      <c r="L16" s="932">
        <v>113.391213285413</v>
      </c>
      <c r="M16" s="933">
        <v>119.03345028235201</v>
      </c>
      <c r="N16" s="934">
        <v>76.283572259143796</v>
      </c>
      <c r="O16" s="935">
        <v>75.804317335743804</v>
      </c>
      <c r="P16" s="17"/>
      <c r="V16" s="17"/>
      <c r="W16" s="887" t="s">
        <v>49</v>
      </c>
      <c r="X16" s="888"/>
      <c r="Y16" s="936"/>
      <c r="Z16" s="937">
        <v>0.32661760201575302</v>
      </c>
      <c r="AA16" s="938">
        <v>0.24550530133352999</v>
      </c>
      <c r="AB16" s="937">
        <v>0.26715521725074098</v>
      </c>
      <c r="AC16" s="704" t="s">
        <v>347</v>
      </c>
    </row>
    <row r="17" spans="2:29" ht="18.75" x14ac:dyDescent="0.3">
      <c r="B17" s="77" t="s">
        <v>36</v>
      </c>
      <c r="C17" s="78"/>
      <c r="D17" s="939">
        <v>13890</v>
      </c>
      <c r="E17" s="80" t="s">
        <v>42</v>
      </c>
      <c r="H17" s="17"/>
      <c r="I17" s="872">
        <v>300</v>
      </c>
      <c r="J17" s="873">
        <v>13.9430870440688</v>
      </c>
      <c r="K17" s="885">
        <v>510.96</v>
      </c>
      <c r="L17" s="932">
        <v>71.109743924750802</v>
      </c>
      <c r="M17" s="940">
        <v>73.930862423220105</v>
      </c>
      <c r="N17" s="941">
        <v>71.109743924750802</v>
      </c>
      <c r="O17" s="942">
        <v>71.109743924750802</v>
      </c>
      <c r="P17" s="17"/>
      <c r="V17" s="17"/>
      <c r="W17" s="943" t="s">
        <v>51</v>
      </c>
      <c r="X17" s="944"/>
      <c r="Y17" s="945" t="s">
        <v>52</v>
      </c>
      <c r="Z17" s="946">
        <v>11.9141799221954</v>
      </c>
      <c r="AA17" s="947">
        <v>10.3293929373536</v>
      </c>
      <c r="AB17" s="946">
        <v>10.7752211235758</v>
      </c>
      <c r="AC17" s="948" t="s">
        <v>379</v>
      </c>
    </row>
    <row r="18" spans="2:29" ht="18.75" x14ac:dyDescent="0.3">
      <c r="B18" s="84" t="s">
        <v>47</v>
      </c>
      <c r="C18" s="85"/>
      <c r="D18" s="939">
        <v>6.28</v>
      </c>
      <c r="E18" s="86" t="s">
        <v>48</v>
      </c>
      <c r="H18" s="17"/>
      <c r="I18" s="872">
        <v>0</v>
      </c>
      <c r="J18" s="873">
        <v>0</v>
      </c>
      <c r="K18" s="885">
        <v>0</v>
      </c>
      <c r="L18" s="932">
        <v>0</v>
      </c>
      <c r="M18" s="940">
        <v>0</v>
      </c>
      <c r="N18" s="941">
        <v>0</v>
      </c>
      <c r="O18" s="942">
        <v>0</v>
      </c>
      <c r="P18" s="17"/>
      <c r="V18" s="17"/>
      <c r="Y18" s="949" t="s">
        <v>54</v>
      </c>
      <c r="Z18" s="946">
        <v>11.9141799221954</v>
      </c>
      <c r="AA18" s="947">
        <v>10.3293929373536</v>
      </c>
      <c r="AB18" s="946">
        <v>10.7752211235758</v>
      </c>
      <c r="AC18" s="948" t="s">
        <v>379</v>
      </c>
    </row>
    <row r="19" spans="2:29" ht="18.75" x14ac:dyDescent="0.3">
      <c r="B19" s="91" t="s">
        <v>40</v>
      </c>
      <c r="C19" s="92"/>
      <c r="D19" s="950">
        <v>7</v>
      </c>
      <c r="E19" s="86" t="s">
        <v>48</v>
      </c>
      <c r="H19" s="17"/>
      <c r="I19" s="872">
        <v>0</v>
      </c>
      <c r="J19" s="873">
        <v>0</v>
      </c>
      <c r="K19" s="885">
        <v>0</v>
      </c>
      <c r="L19" s="932">
        <v>0</v>
      </c>
      <c r="M19" s="940">
        <v>0</v>
      </c>
      <c r="N19" s="941">
        <v>0</v>
      </c>
      <c r="O19" s="942">
        <v>0</v>
      </c>
      <c r="P19" s="17"/>
      <c r="V19" s="17"/>
      <c r="W19" s="951"/>
      <c r="X19" s="951"/>
      <c r="Y19" s="952" t="s">
        <v>55</v>
      </c>
      <c r="Z19" s="946">
        <v>11.9141799221954</v>
      </c>
      <c r="AA19" s="947">
        <v>10.3293929373536</v>
      </c>
      <c r="AB19" s="946">
        <v>10.7752211235758</v>
      </c>
      <c r="AC19" s="948" t="s">
        <v>379</v>
      </c>
    </row>
    <row r="20" spans="2:29" ht="15" x14ac:dyDescent="0.25">
      <c r="H20" s="17"/>
      <c r="I20" s="872">
        <v>0</v>
      </c>
      <c r="J20" s="873">
        <v>0</v>
      </c>
      <c r="K20" s="885">
        <v>0</v>
      </c>
      <c r="L20" s="932">
        <v>0</v>
      </c>
      <c r="M20" s="940">
        <v>0</v>
      </c>
      <c r="N20" s="941">
        <v>0</v>
      </c>
      <c r="O20" s="942">
        <v>0</v>
      </c>
      <c r="P20" s="17"/>
      <c r="V20" s="17"/>
      <c r="W20" s="951"/>
      <c r="X20" s="951"/>
      <c r="Y20" s="952" t="s">
        <v>56</v>
      </c>
      <c r="Z20" s="946" t="s">
        <v>46</v>
      </c>
      <c r="AA20" s="947" t="s">
        <v>46</v>
      </c>
      <c r="AB20" s="946" t="s">
        <v>46</v>
      </c>
      <c r="AC20" s="948" t="s">
        <v>379</v>
      </c>
    </row>
    <row r="21" spans="2:29" ht="15" x14ac:dyDescent="0.25">
      <c r="H21" s="17"/>
      <c r="I21" s="953">
        <v>0</v>
      </c>
      <c r="J21" s="895">
        <v>0</v>
      </c>
      <c r="K21" s="896">
        <v>0</v>
      </c>
      <c r="L21" s="954">
        <v>0</v>
      </c>
      <c r="M21" s="955">
        <v>0</v>
      </c>
      <c r="N21" s="956">
        <v>0</v>
      </c>
      <c r="O21" s="957">
        <v>0</v>
      </c>
      <c r="P21" s="17"/>
      <c r="V21" s="17"/>
      <c r="W21" s="951"/>
      <c r="X21" s="951"/>
      <c r="Y21" s="952" t="s">
        <v>57</v>
      </c>
      <c r="Z21" s="946" t="s">
        <v>46</v>
      </c>
      <c r="AA21" s="947" t="s">
        <v>46</v>
      </c>
      <c r="AB21" s="946" t="s">
        <v>46</v>
      </c>
      <c r="AC21" s="948" t="s">
        <v>379</v>
      </c>
    </row>
    <row r="22" spans="2:29" ht="15" x14ac:dyDescent="0.25">
      <c r="H22" s="17"/>
      <c r="I22" s="855"/>
      <c r="J22" s="855"/>
      <c r="K22" s="855"/>
      <c r="L22" s="901" t="s">
        <v>30</v>
      </c>
      <c r="M22" s="902">
        <v>0.99997317485079795</v>
      </c>
      <c r="N22" s="903">
        <v>0.94773028757161004</v>
      </c>
      <c r="O22" s="904">
        <v>0.94600389164267895</v>
      </c>
      <c r="P22" s="17"/>
      <c r="V22" s="17"/>
      <c r="W22" s="17"/>
      <c r="X22" s="17"/>
      <c r="Y22" s="958" t="s">
        <v>58</v>
      </c>
      <c r="Z22" s="946" t="s">
        <v>46</v>
      </c>
      <c r="AA22" s="947" t="s">
        <v>46</v>
      </c>
      <c r="AB22" s="946" t="s">
        <v>46</v>
      </c>
      <c r="AC22" s="706" t="s">
        <v>379</v>
      </c>
    </row>
    <row r="23" spans="2:29" ht="15" x14ac:dyDescent="0.25">
      <c r="H23" s="17"/>
      <c r="I23" s="905"/>
      <c r="J23" s="905"/>
      <c r="K23" s="855"/>
      <c r="L23" s="855"/>
      <c r="M23" s="101" t="s">
        <v>34</v>
      </c>
      <c r="N23" s="102" t="s">
        <v>375</v>
      </c>
      <c r="O23" s="855"/>
      <c r="P23" s="17"/>
      <c r="V23" s="17"/>
    </row>
    <row r="24" spans="2:29" ht="15" x14ac:dyDescent="0.25">
      <c r="H24" s="17"/>
      <c r="I24" s="17"/>
      <c r="J24" s="17"/>
      <c r="K24" s="17"/>
      <c r="L24" s="9"/>
      <c r="M24" s="17"/>
      <c r="N24" s="17"/>
      <c r="O24" s="17"/>
      <c r="P24" s="102"/>
      <c r="V24" s="17"/>
    </row>
    <row r="25" spans="2:29" x14ac:dyDescent="0.2">
      <c r="H25" s="17"/>
      <c r="I25" s="17"/>
      <c r="J25" s="17"/>
      <c r="K25" s="17"/>
      <c r="L25" s="17"/>
      <c r="M25" s="17"/>
      <c r="N25" s="17"/>
      <c r="O25" s="17"/>
      <c r="P25" s="17"/>
      <c r="V25" s="17"/>
    </row>
    <row r="26" spans="2:29" x14ac:dyDescent="0.2">
      <c r="H26" s="17"/>
      <c r="I26" s="17"/>
      <c r="J26" s="17"/>
      <c r="K26" s="17"/>
      <c r="L26" s="17"/>
      <c r="M26" s="17"/>
      <c r="N26" s="17"/>
      <c r="O26" s="17"/>
      <c r="P26" s="17"/>
      <c r="V26" s="17"/>
    </row>
    <row r="27" spans="2:29" x14ac:dyDescent="0.2">
      <c r="H27" s="17"/>
      <c r="I27" s="17"/>
      <c r="J27" s="17"/>
      <c r="K27" s="17"/>
      <c r="L27" s="17"/>
      <c r="M27" s="17"/>
      <c r="N27" s="17"/>
      <c r="O27" s="17"/>
      <c r="P27" s="17"/>
      <c r="V27" s="17"/>
    </row>
    <row r="30" spans="2:29" x14ac:dyDescent="0.2"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</row>
    <row r="31" spans="2:29" x14ac:dyDescent="0.2"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</row>
    <row r="32" spans="2:29" ht="18.75" x14ac:dyDescent="0.3">
      <c r="B32" s="959" t="s">
        <v>59</v>
      </c>
      <c r="C32" s="181"/>
      <c r="D32" s="182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</row>
    <row r="33" spans="2:19" ht="18.75" x14ac:dyDescent="0.3">
      <c r="B33" s="960" t="s">
        <v>60</v>
      </c>
      <c r="C33" s="961">
        <v>5</v>
      </c>
      <c r="D33" s="962" t="s">
        <v>333</v>
      </c>
      <c r="I33" s="17"/>
      <c r="J33" s="17"/>
      <c r="K33" s="17"/>
      <c r="L33" s="39" t="s">
        <v>63</v>
      </c>
      <c r="M33" s="149"/>
      <c r="N33" s="149"/>
      <c r="O33" s="148"/>
      <c r="P33" s="17"/>
      <c r="Q33" s="17"/>
      <c r="R33" s="17"/>
      <c r="S33" s="17"/>
    </row>
    <row r="34" spans="2:19" ht="18.75" x14ac:dyDescent="0.3">
      <c r="B34" s="963" t="s">
        <v>62</v>
      </c>
      <c r="C34" s="964">
        <v>4.2750000000000004</v>
      </c>
      <c r="D34" s="965" t="s">
        <v>333</v>
      </c>
      <c r="I34" s="17"/>
      <c r="J34" s="17"/>
      <c r="K34" s="17"/>
      <c r="L34" s="879" t="s">
        <v>169</v>
      </c>
      <c r="M34" s="881"/>
      <c r="N34" s="966" t="s">
        <v>364</v>
      </c>
      <c r="O34" s="967"/>
      <c r="P34" s="17"/>
      <c r="Q34" s="17"/>
      <c r="R34" s="17"/>
      <c r="S34" s="17"/>
    </row>
    <row r="35" spans="2:19" ht="18.75" x14ac:dyDescent="0.3">
      <c r="B35" s="968" t="s">
        <v>60</v>
      </c>
      <c r="C35" s="79">
        <v>3.5</v>
      </c>
      <c r="D35" s="106" t="str">
        <f>IF([1]MOH!$C$7="FIELD","in","m")</f>
        <v>in</v>
      </c>
      <c r="I35" s="17"/>
      <c r="J35" s="17"/>
      <c r="K35" s="17"/>
      <c r="L35" s="969" t="s">
        <v>65</v>
      </c>
      <c r="M35" s="970"/>
      <c r="N35" s="971"/>
      <c r="O35" s="972"/>
      <c r="P35" s="17"/>
      <c r="Q35" s="17"/>
      <c r="R35" s="17"/>
      <c r="S35" s="17"/>
    </row>
    <row r="36" spans="2:19" ht="18.75" x14ac:dyDescent="0.3">
      <c r="B36" s="973" t="s">
        <v>62</v>
      </c>
      <c r="C36" s="93">
        <v>2.76</v>
      </c>
      <c r="D36" s="106" t="str">
        <f>IF([1]MOH!$C$7="FIELD","in","m")</f>
        <v>in</v>
      </c>
      <c r="I36" s="17"/>
      <c r="J36" s="17"/>
      <c r="K36" s="17"/>
      <c r="L36" s="887" t="s">
        <v>66</v>
      </c>
      <c r="M36" s="974"/>
      <c r="N36" s="975">
        <v>27.075967678820099</v>
      </c>
      <c r="O36" s="156" t="s">
        <v>67</v>
      </c>
      <c r="P36" s="17"/>
      <c r="Q36" s="17"/>
      <c r="R36" s="17"/>
      <c r="S36" s="17"/>
    </row>
    <row r="37" spans="2:19" ht="15" x14ac:dyDescent="0.25">
      <c r="I37" s="17"/>
      <c r="J37" s="17"/>
      <c r="K37" s="17"/>
      <c r="L37" s="887" t="s">
        <v>69</v>
      </c>
      <c r="M37" s="974"/>
      <c r="N37" s="976">
        <v>0.14615078969192799</v>
      </c>
      <c r="O37" s="154" t="s">
        <v>46</v>
      </c>
      <c r="P37" s="17"/>
      <c r="Q37" s="17"/>
      <c r="R37" s="17"/>
      <c r="S37" s="17"/>
    </row>
    <row r="38" spans="2:19" ht="15" x14ac:dyDescent="0.25">
      <c r="I38" s="17"/>
      <c r="J38" s="17"/>
      <c r="K38" s="17"/>
      <c r="L38" s="977" t="s">
        <v>72</v>
      </c>
      <c r="M38" s="978"/>
      <c r="N38" s="979">
        <v>1769.9175946278599</v>
      </c>
      <c r="O38" s="980" t="s">
        <v>73</v>
      </c>
      <c r="P38" s="17"/>
      <c r="Q38" s="17"/>
      <c r="R38" s="17"/>
      <c r="S38" s="17"/>
    </row>
    <row r="39" spans="2:19" ht="15" x14ac:dyDescent="0.25">
      <c r="I39" s="17"/>
      <c r="J39" s="17"/>
      <c r="K39" s="17"/>
      <c r="L39" s="981" t="s">
        <v>75</v>
      </c>
      <c r="M39" s="982"/>
      <c r="N39" s="983"/>
      <c r="O39" s="156"/>
      <c r="P39" s="17"/>
      <c r="Q39" s="17"/>
      <c r="R39" s="17"/>
      <c r="S39" s="17"/>
    </row>
    <row r="40" spans="2:19" ht="15" x14ac:dyDescent="0.25">
      <c r="I40" s="17"/>
      <c r="J40" s="17"/>
      <c r="K40" s="17"/>
      <c r="L40" s="887" t="s">
        <v>77</v>
      </c>
      <c r="M40" s="974"/>
      <c r="N40" s="975">
        <v>13.3505066493268</v>
      </c>
      <c r="O40" s="154" t="s">
        <v>73</v>
      </c>
      <c r="P40" s="17"/>
      <c r="Q40" s="17"/>
      <c r="R40" s="17"/>
      <c r="S40" s="17"/>
    </row>
    <row r="41" spans="2:19" ht="15" x14ac:dyDescent="0.25">
      <c r="I41" s="17"/>
      <c r="J41" s="17"/>
      <c r="K41" s="17"/>
      <c r="L41" s="943" t="s">
        <v>79</v>
      </c>
      <c r="M41" s="984"/>
      <c r="N41" s="985">
        <v>30.534101308422098</v>
      </c>
      <c r="O41" s="163" t="s">
        <v>73</v>
      </c>
      <c r="P41" s="17"/>
      <c r="Q41" s="17"/>
      <c r="R41" s="17"/>
      <c r="S41" s="17"/>
    </row>
    <row r="42" spans="2:19" x14ac:dyDescent="0.2"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</row>
    <row r="43" spans="2:19" x14ac:dyDescent="0.2"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</row>
    <row r="44" spans="2:19" ht="18.75" x14ac:dyDescent="0.3">
      <c r="B44" s="959"/>
      <c r="C44" s="986"/>
      <c r="D44" s="987" t="s">
        <v>68</v>
      </c>
      <c r="E44" s="988"/>
      <c r="F44" s="989"/>
      <c r="I44" s="17"/>
      <c r="J44" s="39" t="s">
        <v>63</v>
      </c>
      <c r="K44" s="149"/>
      <c r="L44" s="149"/>
      <c r="M44" s="148"/>
      <c r="N44" s="17"/>
      <c r="O44" s="39" t="s">
        <v>63</v>
      </c>
      <c r="P44" s="149"/>
      <c r="Q44" s="111"/>
      <c r="R44" s="112"/>
      <c r="S44" s="17"/>
    </row>
    <row r="45" spans="2:19" ht="18.75" x14ac:dyDescent="0.3">
      <c r="B45" s="990" t="s">
        <v>70</v>
      </c>
      <c r="C45" s="991" t="s">
        <v>386</v>
      </c>
      <c r="D45" s="991" t="s">
        <v>387</v>
      </c>
      <c r="E45" s="991" t="s">
        <v>388</v>
      </c>
      <c r="F45" s="992" t="s">
        <v>71</v>
      </c>
      <c r="I45" s="17"/>
      <c r="J45" s="879" t="s">
        <v>169</v>
      </c>
      <c r="K45" s="881"/>
      <c r="L45" s="993" t="s">
        <v>13</v>
      </c>
      <c r="M45" s="994"/>
      <c r="N45" s="17"/>
      <c r="O45" s="879" t="s">
        <v>169</v>
      </c>
      <c r="P45" s="881"/>
      <c r="Q45" s="995" t="s">
        <v>12</v>
      </c>
      <c r="R45" s="996"/>
      <c r="S45" s="17"/>
    </row>
    <row r="46" spans="2:19" ht="18.75" x14ac:dyDescent="0.3">
      <c r="B46" s="997">
        <v>1</v>
      </c>
      <c r="C46" s="998">
        <v>2</v>
      </c>
      <c r="D46" s="999">
        <v>2.5</v>
      </c>
      <c r="E46" s="999">
        <v>4.75</v>
      </c>
      <c r="F46" s="1000" t="s">
        <v>74</v>
      </c>
      <c r="I46" s="17"/>
      <c r="J46" s="887" t="s">
        <v>65</v>
      </c>
      <c r="K46" s="974"/>
      <c r="L46" s="1001"/>
      <c r="M46" s="972"/>
      <c r="N46" s="17"/>
      <c r="O46" s="887" t="s">
        <v>65</v>
      </c>
      <c r="P46" s="974"/>
      <c r="Q46" s="1002"/>
      <c r="R46" s="1003"/>
      <c r="S46" s="17"/>
    </row>
    <row r="47" spans="2:19" ht="18.75" x14ac:dyDescent="0.3">
      <c r="B47" s="1004">
        <v>2</v>
      </c>
      <c r="C47" s="1005">
        <v>6</v>
      </c>
      <c r="D47" s="999">
        <v>2.5</v>
      </c>
      <c r="E47" s="999">
        <v>4.75</v>
      </c>
      <c r="F47" s="1006" t="s">
        <v>76</v>
      </c>
      <c r="I47" s="17"/>
      <c r="J47" s="887" t="s">
        <v>69</v>
      </c>
      <c r="K47" s="974"/>
      <c r="L47" s="1007">
        <v>0.101325143787575</v>
      </c>
      <c r="M47" s="1008" t="s">
        <v>46</v>
      </c>
      <c r="N47" s="17"/>
      <c r="O47" s="887" t="s">
        <v>83</v>
      </c>
      <c r="P47" s="974"/>
      <c r="Q47" s="1009">
        <v>22</v>
      </c>
      <c r="R47" s="704" t="s">
        <v>73</v>
      </c>
      <c r="S47" s="17"/>
    </row>
    <row r="48" spans="2:19" ht="18.75" x14ac:dyDescent="0.3">
      <c r="B48" s="1004">
        <v>3</v>
      </c>
      <c r="C48" s="1005">
        <v>394</v>
      </c>
      <c r="D48" s="999">
        <v>2.5</v>
      </c>
      <c r="E48" s="999">
        <v>4.75</v>
      </c>
      <c r="F48" s="1006" t="s">
        <v>78</v>
      </c>
      <c r="I48" s="17"/>
      <c r="J48" s="1010" t="s">
        <v>72</v>
      </c>
      <c r="K48" s="1011"/>
      <c r="L48" s="1012">
        <v>0</v>
      </c>
      <c r="M48" s="1013" t="s">
        <v>73</v>
      </c>
      <c r="N48" s="17"/>
      <c r="O48" s="1010" t="s">
        <v>84</v>
      </c>
      <c r="P48" s="1011"/>
      <c r="Q48" s="1012">
        <v>15</v>
      </c>
      <c r="R48" s="948" t="s">
        <v>67</v>
      </c>
      <c r="S48" s="17"/>
    </row>
    <row r="49" spans="2:19" ht="18.75" x14ac:dyDescent="0.3">
      <c r="B49" s="1004">
        <v>4</v>
      </c>
      <c r="C49" s="1005">
        <v>2</v>
      </c>
      <c r="D49" s="999">
        <v>2.5</v>
      </c>
      <c r="E49" s="999">
        <v>4.75</v>
      </c>
      <c r="F49" s="1006" t="s">
        <v>80</v>
      </c>
      <c r="I49" s="17"/>
      <c r="J49" s="981" t="s">
        <v>75</v>
      </c>
      <c r="K49" s="982"/>
      <c r="L49" s="1014"/>
      <c r="M49" s="1015"/>
      <c r="N49" s="17"/>
      <c r="O49" s="981" t="s">
        <v>75</v>
      </c>
      <c r="P49" s="982"/>
      <c r="Q49" s="1016"/>
      <c r="R49" s="151"/>
      <c r="S49" s="17"/>
    </row>
    <row r="50" spans="2:19" ht="18.75" x14ac:dyDescent="0.3">
      <c r="B50" s="1004">
        <v>5</v>
      </c>
      <c r="C50" s="1005">
        <v>60</v>
      </c>
      <c r="D50" s="999">
        <v>2.5</v>
      </c>
      <c r="E50" s="999">
        <v>4.75</v>
      </c>
      <c r="F50" s="1006" t="s">
        <v>78</v>
      </c>
      <c r="I50" s="17"/>
      <c r="J50" s="887" t="s">
        <v>77</v>
      </c>
      <c r="K50" s="974"/>
      <c r="L50" s="1009">
        <v>7.6877801479682297</v>
      </c>
      <c r="M50" s="1017" t="s">
        <v>73</v>
      </c>
      <c r="N50" s="17"/>
      <c r="O50" s="887" t="s">
        <v>77</v>
      </c>
      <c r="P50" s="974"/>
      <c r="Q50" s="1009">
        <v>81.780159999999995</v>
      </c>
      <c r="R50" s="704" t="s">
        <v>73</v>
      </c>
      <c r="S50" s="17"/>
    </row>
    <row r="51" spans="2:19" ht="18.75" x14ac:dyDescent="0.3">
      <c r="B51" s="1004">
        <v>6</v>
      </c>
      <c r="C51" s="1005">
        <v>2</v>
      </c>
      <c r="D51" s="999">
        <v>2.5</v>
      </c>
      <c r="E51" s="999">
        <v>4.75</v>
      </c>
      <c r="F51" s="1006" t="s">
        <v>81</v>
      </c>
      <c r="I51" s="17"/>
      <c r="J51" s="943" t="s">
        <v>79</v>
      </c>
      <c r="K51" s="984"/>
      <c r="L51" s="1018">
        <v>51.642246751772397</v>
      </c>
      <c r="M51" s="264" t="s">
        <v>73</v>
      </c>
      <c r="N51" s="17"/>
      <c r="O51" s="943" t="s">
        <v>79</v>
      </c>
      <c r="P51" s="984"/>
      <c r="Q51" s="1018">
        <v>92.765486177499994</v>
      </c>
      <c r="R51" s="706" t="s">
        <v>73</v>
      </c>
      <c r="S51" s="17"/>
    </row>
    <row r="52" spans="2:19" ht="18.75" x14ac:dyDescent="0.3">
      <c r="B52" s="1004">
        <v>7</v>
      </c>
      <c r="C52" s="1005">
        <v>60</v>
      </c>
      <c r="D52" s="999">
        <v>2.5</v>
      </c>
      <c r="E52" s="999">
        <v>4.75</v>
      </c>
      <c r="F52" s="1006" t="s">
        <v>78</v>
      </c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</row>
    <row r="53" spans="2:19" ht="18.75" x14ac:dyDescent="0.3">
      <c r="B53" s="1004">
        <v>8</v>
      </c>
      <c r="C53" s="1005">
        <v>2</v>
      </c>
      <c r="D53" s="999">
        <v>2.5</v>
      </c>
      <c r="E53" s="999">
        <v>4.75</v>
      </c>
      <c r="F53" s="1006" t="s">
        <v>82</v>
      </c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</row>
    <row r="54" spans="2:19" ht="18.75" x14ac:dyDescent="0.3">
      <c r="B54" s="1004">
        <v>9</v>
      </c>
      <c r="C54" s="1005">
        <v>10</v>
      </c>
      <c r="D54" s="999">
        <v>2.5</v>
      </c>
      <c r="E54" s="999">
        <v>4.75</v>
      </c>
      <c r="F54" s="1006" t="s">
        <v>78</v>
      </c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</row>
    <row r="55" spans="2:19" ht="18.75" x14ac:dyDescent="0.3">
      <c r="B55" s="1004">
        <v>10</v>
      </c>
      <c r="C55" s="1005">
        <v>210</v>
      </c>
      <c r="D55" s="999">
        <v>2.5</v>
      </c>
      <c r="E55" s="999">
        <v>4.75</v>
      </c>
      <c r="F55" s="1006" t="s">
        <v>85</v>
      </c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</row>
    <row r="56" spans="2:19" ht="18.75" x14ac:dyDescent="0.3">
      <c r="B56" s="1019">
        <v>11</v>
      </c>
      <c r="C56" s="1020">
        <v>6</v>
      </c>
      <c r="D56" s="999">
        <v>2.5</v>
      </c>
      <c r="E56" s="999">
        <v>4.75</v>
      </c>
      <c r="F56" s="1021" t="s">
        <v>86</v>
      </c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</row>
    <row r="57" spans="2:19" x14ac:dyDescent="0.2"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</row>
    <row r="58" spans="2:19" x14ac:dyDescent="0.2"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</row>
    <row r="59" spans="2:19" ht="15" x14ac:dyDescent="0.25">
      <c r="I59" s="17"/>
      <c r="J59" s="17"/>
      <c r="K59" s="17"/>
      <c r="L59" s="29" t="s">
        <v>380</v>
      </c>
      <c r="M59" s="29"/>
      <c r="N59" s="29"/>
      <c r="O59" s="17"/>
      <c r="P59" s="17"/>
      <c r="Q59" s="17"/>
    </row>
    <row r="60" spans="2:19" x14ac:dyDescent="0.2">
      <c r="I60" s="17"/>
      <c r="J60" s="867" t="s">
        <v>17</v>
      </c>
      <c r="K60" s="868"/>
      <c r="L60" s="868"/>
      <c r="M60" s="869"/>
      <c r="N60" s="870"/>
      <c r="O60" s="869"/>
      <c r="P60" s="871"/>
      <c r="Q60" s="17"/>
    </row>
    <row r="61" spans="2:19" ht="15" x14ac:dyDescent="0.25">
      <c r="I61" s="17"/>
      <c r="J61" s="879" t="s">
        <v>169</v>
      </c>
      <c r="K61" s="880"/>
      <c r="L61" s="881"/>
      <c r="M61" s="1022" t="s">
        <v>14</v>
      </c>
      <c r="N61" s="1023" t="s">
        <v>12</v>
      </c>
      <c r="O61" s="1022" t="s">
        <v>13</v>
      </c>
      <c r="P61" s="883"/>
      <c r="Q61" s="17"/>
    </row>
    <row r="62" spans="2:19" ht="15" x14ac:dyDescent="0.25">
      <c r="I62" s="17"/>
      <c r="J62" s="887" t="s">
        <v>21</v>
      </c>
      <c r="K62" s="888"/>
      <c r="L62" s="974"/>
      <c r="M62" s="1024">
        <v>7690.8</v>
      </c>
      <c r="N62" s="1025">
        <v>7690.8</v>
      </c>
      <c r="O62" s="1026">
        <v>7690.8</v>
      </c>
      <c r="P62" s="704" t="s">
        <v>22</v>
      </c>
      <c r="Q62" s="17"/>
    </row>
    <row r="63" spans="2:19" ht="15" x14ac:dyDescent="0.25">
      <c r="I63" s="17"/>
      <c r="J63" s="887" t="s">
        <v>24</v>
      </c>
      <c r="K63" s="888"/>
      <c r="L63" s="974"/>
      <c r="M63" s="976">
        <v>8034.3458669122701</v>
      </c>
      <c r="N63" s="1027">
        <v>8130.9555171089996</v>
      </c>
      <c r="O63" s="1007">
        <v>8074.3964531216498</v>
      </c>
      <c r="P63" s="704" t="s">
        <v>22</v>
      </c>
      <c r="Q63" s="17"/>
    </row>
    <row r="64" spans="2:19" ht="18.75" x14ac:dyDescent="0.3">
      <c r="B64" s="164" t="s">
        <v>87</v>
      </c>
      <c r="C64" s="165"/>
      <c r="D64" s="96"/>
      <c r="I64" s="17"/>
      <c r="J64" s="887" t="s">
        <v>26</v>
      </c>
      <c r="K64" s="888"/>
      <c r="L64" s="974"/>
      <c r="M64" s="976">
        <v>10.655631123225801</v>
      </c>
      <c r="N64" s="1027">
        <v>10.783760632770599</v>
      </c>
      <c r="O64" s="1007">
        <v>10.7087486115672</v>
      </c>
      <c r="P64" s="704" t="s">
        <v>27</v>
      </c>
      <c r="Q64" s="17"/>
    </row>
    <row r="65" spans="2:17" ht="15.75" x14ac:dyDescent="0.25">
      <c r="B65" s="1028" t="s">
        <v>88</v>
      </c>
      <c r="C65" s="1029">
        <v>6</v>
      </c>
      <c r="D65" s="1030" t="s">
        <v>333</v>
      </c>
      <c r="I65" s="17"/>
      <c r="J65" s="887" t="s">
        <v>29</v>
      </c>
      <c r="K65" s="888"/>
      <c r="L65" s="974"/>
      <c r="M65" s="976">
        <v>218.078535038468</v>
      </c>
      <c r="N65" s="1027">
        <v>288.22700448955902</v>
      </c>
      <c r="O65" s="1007">
        <v>231.634743056248</v>
      </c>
      <c r="P65" s="704" t="s">
        <v>22</v>
      </c>
      <c r="Q65" s="17"/>
    </row>
    <row r="66" spans="2:17" ht="15.75" x14ac:dyDescent="0.25">
      <c r="B66" s="1031" t="s">
        <v>90</v>
      </c>
      <c r="C66" s="1032">
        <v>3</v>
      </c>
      <c r="D66" s="1033" t="s">
        <v>46</v>
      </c>
      <c r="I66" s="17"/>
      <c r="J66" s="887" t="s">
        <v>31</v>
      </c>
      <c r="K66" s="888"/>
      <c r="L66" s="974"/>
      <c r="M66" s="976">
        <v>60.9845950480656</v>
      </c>
      <c r="N66" s="1027">
        <v>115.25805745554</v>
      </c>
      <c r="O66" s="1007">
        <v>113.425280479062</v>
      </c>
      <c r="P66" s="704" t="s">
        <v>22</v>
      </c>
      <c r="Q66" s="17"/>
    </row>
    <row r="67" spans="2:17" ht="15.75" x14ac:dyDescent="0.25">
      <c r="B67" s="1034"/>
      <c r="C67" s="1035"/>
      <c r="D67" s="1036"/>
      <c r="I67" s="17"/>
      <c r="J67" s="887" t="s">
        <v>32</v>
      </c>
      <c r="K67" s="888"/>
      <c r="L67" s="974"/>
      <c r="M67" s="976">
        <v>459.10057642844203</v>
      </c>
      <c r="N67" s="1027">
        <v>526.21282789078305</v>
      </c>
      <c r="O67" s="1007">
        <v>444.26183045211297</v>
      </c>
      <c r="P67" s="704" t="s">
        <v>22</v>
      </c>
      <c r="Q67" s="17"/>
    </row>
    <row r="68" spans="2:17" ht="15" x14ac:dyDescent="0.25">
      <c r="I68" s="17"/>
      <c r="J68" s="887" t="s">
        <v>35</v>
      </c>
      <c r="K68" s="888"/>
      <c r="L68" s="974"/>
      <c r="M68" s="976">
        <v>0</v>
      </c>
      <c r="N68" s="1027">
        <v>0</v>
      </c>
      <c r="O68" s="1007">
        <v>0</v>
      </c>
      <c r="P68" s="704" t="s">
        <v>22</v>
      </c>
      <c r="Q68" s="17"/>
    </row>
    <row r="69" spans="2:17" ht="15" x14ac:dyDescent="0.25">
      <c r="I69" s="17"/>
      <c r="J69" s="887" t="s">
        <v>37</v>
      </c>
      <c r="K69" s="888"/>
      <c r="L69" s="974"/>
      <c r="M69" s="976">
        <v>232.561271864209</v>
      </c>
      <c r="N69" s="1027">
        <v>289.89745965345799</v>
      </c>
      <c r="O69" s="1007">
        <v>211.17117264259301</v>
      </c>
      <c r="P69" s="704" t="s">
        <v>22</v>
      </c>
      <c r="Q69" s="17"/>
    </row>
    <row r="70" spans="2:17" ht="15" x14ac:dyDescent="0.25">
      <c r="I70" s="17"/>
      <c r="J70" s="887" t="s">
        <v>39</v>
      </c>
      <c r="K70" s="888"/>
      <c r="L70" s="974"/>
      <c r="M70" s="976">
        <v>1895.6321027042</v>
      </c>
      <c r="N70" s="1027">
        <v>2329.9627919087702</v>
      </c>
      <c r="O70" s="1007">
        <v>1967.6299065986</v>
      </c>
      <c r="P70" s="704" t="s">
        <v>22</v>
      </c>
      <c r="Q70" s="17"/>
    </row>
    <row r="71" spans="2:17" ht="15" x14ac:dyDescent="0.25">
      <c r="I71" s="17"/>
      <c r="J71" s="887" t="s">
        <v>43</v>
      </c>
      <c r="K71" s="888"/>
      <c r="L71" s="974"/>
      <c r="M71" s="976">
        <v>2916.3570810833799</v>
      </c>
      <c r="N71" s="1027">
        <v>3584.5581413981099</v>
      </c>
      <c r="O71" s="1007">
        <v>3027.1229332286198</v>
      </c>
      <c r="P71" s="704" t="s">
        <v>22</v>
      </c>
      <c r="Q71" s="17"/>
    </row>
    <row r="72" spans="2:17" x14ac:dyDescent="0.2">
      <c r="I72" s="17"/>
      <c r="J72" s="120" t="s">
        <v>378</v>
      </c>
      <c r="K72" s="117"/>
      <c r="L72" s="119"/>
      <c r="M72" s="1037">
        <v>478.544591047084</v>
      </c>
      <c r="N72" s="927">
        <v>0</v>
      </c>
      <c r="O72" s="928">
        <v>0</v>
      </c>
      <c r="P72" s="929" t="s">
        <v>46</v>
      </c>
      <c r="Q72" s="17"/>
    </row>
    <row r="73" spans="2:17" ht="15" x14ac:dyDescent="0.25">
      <c r="I73" s="17"/>
      <c r="J73" s="887" t="s">
        <v>49</v>
      </c>
      <c r="K73" s="888"/>
      <c r="L73" s="1038"/>
      <c r="M73" s="1039">
        <v>0.22569811086664901</v>
      </c>
      <c r="N73" s="375">
        <v>0.16964818300286399</v>
      </c>
      <c r="O73" s="1040">
        <v>0.18460862938658501</v>
      </c>
      <c r="P73" s="704" t="s">
        <v>347</v>
      </c>
      <c r="Q73" s="17"/>
    </row>
    <row r="74" spans="2:17" ht="15" x14ac:dyDescent="0.25">
      <c r="I74" s="17"/>
      <c r="J74" s="943" t="s">
        <v>51</v>
      </c>
      <c r="K74" s="944"/>
      <c r="L74" s="1041" t="s">
        <v>52</v>
      </c>
      <c r="M74" s="975">
        <v>9.9039473587320099</v>
      </c>
      <c r="N74" s="1042">
        <v>8.5865552280796305</v>
      </c>
      <c r="O74" s="1009">
        <v>8.9571605837330193</v>
      </c>
      <c r="P74" s="948" t="s">
        <v>379</v>
      </c>
      <c r="Q74" s="17"/>
    </row>
    <row r="75" spans="2:17" ht="15" x14ac:dyDescent="0.25">
      <c r="I75" s="17"/>
      <c r="J75" s="17"/>
      <c r="K75" s="17"/>
      <c r="L75" s="1043" t="s">
        <v>54</v>
      </c>
      <c r="M75" s="975">
        <v>9.9039473587320099</v>
      </c>
      <c r="N75" s="1042">
        <v>8.5865552280796305</v>
      </c>
      <c r="O75" s="1009">
        <v>8.9571605837330193</v>
      </c>
      <c r="P75" s="948" t="s">
        <v>379</v>
      </c>
      <c r="Q75" s="17"/>
    </row>
    <row r="76" spans="2:17" ht="18.75" x14ac:dyDescent="0.3">
      <c r="B76" s="215" t="s">
        <v>91</v>
      </c>
      <c r="C76" s="1044"/>
      <c r="D76" s="95"/>
      <c r="E76" s="96"/>
      <c r="I76" s="17"/>
      <c r="J76" s="951"/>
      <c r="K76" s="951"/>
      <c r="L76" s="952" t="s">
        <v>55</v>
      </c>
      <c r="M76" s="975">
        <v>9.9039473587320099</v>
      </c>
      <c r="N76" s="1042">
        <v>8.5865552280796305</v>
      </c>
      <c r="O76" s="1009">
        <v>8.9571605837330193</v>
      </c>
      <c r="P76" s="948" t="s">
        <v>379</v>
      </c>
      <c r="Q76" s="17"/>
    </row>
    <row r="77" spans="2:17" ht="15.75" x14ac:dyDescent="0.25">
      <c r="B77" s="1045" t="s">
        <v>92</v>
      </c>
      <c r="C77" s="1046"/>
      <c r="D77" s="1047">
        <v>270</v>
      </c>
      <c r="E77" s="1048" t="s">
        <v>389</v>
      </c>
      <c r="I77" s="17"/>
      <c r="J77" s="951"/>
      <c r="K77" s="951"/>
      <c r="L77" s="952" t="s">
        <v>56</v>
      </c>
      <c r="M77" s="975" t="s">
        <v>46</v>
      </c>
      <c r="N77" s="1042" t="s">
        <v>46</v>
      </c>
      <c r="O77" s="1009" t="s">
        <v>46</v>
      </c>
      <c r="P77" s="948" t="s">
        <v>379</v>
      </c>
      <c r="Q77" s="17"/>
    </row>
    <row r="78" spans="2:17" ht="15" x14ac:dyDescent="0.25">
      <c r="B78" s="1049" t="s">
        <v>93</v>
      </c>
      <c r="C78" s="1050"/>
      <c r="D78" s="1051">
        <v>0.96</v>
      </c>
      <c r="E78" s="1052" t="s">
        <v>46</v>
      </c>
      <c r="I78" s="17"/>
      <c r="J78" s="951"/>
      <c r="K78" s="951"/>
      <c r="L78" s="952" t="s">
        <v>57</v>
      </c>
      <c r="M78" s="975" t="s">
        <v>46</v>
      </c>
      <c r="N78" s="1042" t="s">
        <v>46</v>
      </c>
      <c r="O78" s="1009" t="s">
        <v>46</v>
      </c>
      <c r="P78" s="948" t="s">
        <v>379</v>
      </c>
      <c r="Q78" s="17"/>
    </row>
    <row r="79" spans="2:17" ht="15" x14ac:dyDescent="0.25">
      <c r="I79" s="17"/>
      <c r="J79" s="17"/>
      <c r="K79" s="17"/>
      <c r="L79" s="958" t="s">
        <v>58</v>
      </c>
      <c r="M79" s="1053" t="s">
        <v>46</v>
      </c>
      <c r="N79" s="1054" t="s">
        <v>46</v>
      </c>
      <c r="O79" s="1055" t="s">
        <v>46</v>
      </c>
      <c r="P79" s="706" t="s">
        <v>379</v>
      </c>
      <c r="Q79" s="17"/>
    </row>
    <row r="80" spans="2:17" x14ac:dyDescent="0.2">
      <c r="I80" s="17"/>
      <c r="J80" s="17"/>
      <c r="K80" s="17"/>
      <c r="L80" s="17"/>
      <c r="M80" s="17"/>
      <c r="N80" s="17"/>
      <c r="O80" s="17"/>
      <c r="P80" s="17"/>
      <c r="Q80" s="17"/>
    </row>
    <row r="81" spans="2:17" x14ac:dyDescent="0.2">
      <c r="I81" s="17"/>
      <c r="J81" s="17"/>
      <c r="K81" s="17"/>
      <c r="L81" s="17"/>
      <c r="M81" s="17"/>
      <c r="N81" s="17"/>
      <c r="O81" s="17"/>
      <c r="P81" s="17"/>
      <c r="Q81" s="17"/>
    </row>
    <row r="82" spans="2:17" x14ac:dyDescent="0.2">
      <c r="I82" s="17"/>
      <c r="J82" s="17"/>
      <c r="K82" s="17"/>
      <c r="L82" s="17"/>
      <c r="M82" s="17"/>
      <c r="N82" s="17"/>
      <c r="O82" s="17"/>
      <c r="P82" s="17"/>
      <c r="Q82" s="17"/>
    </row>
    <row r="83" spans="2:17" x14ac:dyDescent="0.2">
      <c r="I83" s="17"/>
      <c r="J83" s="17"/>
      <c r="K83" s="17"/>
      <c r="L83" s="17"/>
      <c r="M83" s="17"/>
      <c r="N83" s="17"/>
      <c r="O83" s="17"/>
      <c r="P83" s="17"/>
      <c r="Q83" s="17"/>
    </row>
    <row r="84" spans="2:17" x14ac:dyDescent="0.2">
      <c r="I84" s="17"/>
      <c r="J84" s="17"/>
      <c r="K84" s="17"/>
      <c r="L84" s="17"/>
      <c r="M84" s="17"/>
      <c r="N84" s="17"/>
      <c r="O84" s="17"/>
      <c r="P84" s="17"/>
      <c r="Q84" s="17"/>
    </row>
    <row r="85" spans="2:17" x14ac:dyDescent="0.2">
      <c r="I85" s="17"/>
      <c r="J85" s="17"/>
      <c r="K85" s="17"/>
      <c r="L85" s="17"/>
      <c r="M85" s="17"/>
      <c r="N85" s="17"/>
      <c r="O85" s="17"/>
      <c r="P85" s="17"/>
      <c r="Q85" s="17"/>
    </row>
    <row r="86" spans="2:17" x14ac:dyDescent="0.2"/>
    <row r="87" spans="2:17" ht="18.75" x14ac:dyDescent="0.3">
      <c r="B87" s="959" t="s">
        <v>94</v>
      </c>
      <c r="C87" s="986"/>
      <c r="D87" s="906"/>
      <c r="E87" s="1056"/>
      <c r="I87" s="17"/>
      <c r="J87" s="17"/>
      <c r="K87" s="17"/>
      <c r="L87" s="17"/>
      <c r="M87" s="17"/>
      <c r="N87" s="17"/>
      <c r="O87" s="17"/>
      <c r="P87" s="17"/>
      <c r="Q87" s="17"/>
    </row>
    <row r="88" spans="2:17" ht="15.75" x14ac:dyDescent="0.25">
      <c r="B88" s="1057" t="s">
        <v>95</v>
      </c>
      <c r="C88" s="1058" t="s">
        <v>96</v>
      </c>
      <c r="D88" s="1059"/>
      <c r="I88" s="17"/>
      <c r="J88" s="17"/>
      <c r="K88" s="17"/>
      <c r="L88" s="17"/>
      <c r="M88" s="17"/>
      <c r="N88" s="17"/>
      <c r="O88" s="17"/>
      <c r="P88" s="17"/>
      <c r="Q88" s="17"/>
    </row>
    <row r="89" spans="2:17" ht="15.75" x14ac:dyDescent="0.25">
      <c r="B89" s="1060" t="s">
        <v>97</v>
      </c>
      <c r="C89" s="1061">
        <v>180</v>
      </c>
      <c r="D89" s="1062" t="s">
        <v>335</v>
      </c>
      <c r="I89" s="17"/>
      <c r="J89" s="17"/>
      <c r="K89" s="17"/>
      <c r="L89" s="17"/>
      <c r="M89" s="17"/>
      <c r="N89" s="17"/>
      <c r="O89" s="17"/>
      <c r="P89" s="17"/>
      <c r="Q89" s="17"/>
    </row>
    <row r="90" spans="2:17" ht="15.75" x14ac:dyDescent="0.25">
      <c r="B90" s="1060" t="s">
        <v>98</v>
      </c>
      <c r="C90" s="1063">
        <v>0.13</v>
      </c>
      <c r="D90" s="1062" t="s">
        <v>46</v>
      </c>
      <c r="I90" s="17"/>
      <c r="J90" s="17"/>
      <c r="K90" s="17"/>
      <c r="L90" s="17"/>
      <c r="M90" s="17"/>
      <c r="N90" s="17"/>
      <c r="O90" s="17"/>
      <c r="P90" s="17"/>
      <c r="Q90" s="17"/>
    </row>
    <row r="91" spans="2:17" ht="15.75" x14ac:dyDescent="0.25">
      <c r="B91" s="1060" t="s">
        <v>99</v>
      </c>
      <c r="C91" s="1063">
        <v>1.1200000000000001</v>
      </c>
      <c r="D91" s="1062" t="s">
        <v>390</v>
      </c>
      <c r="I91" s="17"/>
      <c r="J91" s="17"/>
      <c r="K91" s="17"/>
      <c r="L91" s="17"/>
      <c r="M91" s="17"/>
      <c r="N91" s="17"/>
      <c r="O91" s="17"/>
      <c r="P91" s="17"/>
      <c r="Q91" s="17"/>
    </row>
    <row r="92" spans="2:17" ht="15.75" x14ac:dyDescent="0.25">
      <c r="B92" s="1060" t="s">
        <v>100</v>
      </c>
      <c r="C92" s="1061" t="s">
        <v>46</v>
      </c>
      <c r="D92" s="1062" t="s">
        <v>389</v>
      </c>
      <c r="I92" s="17"/>
      <c r="J92" s="17"/>
      <c r="K92" s="17"/>
      <c r="L92" s="17"/>
      <c r="M92" s="17"/>
      <c r="N92" s="17"/>
      <c r="O92" s="17"/>
      <c r="P92" s="17"/>
      <c r="Q92" s="17"/>
    </row>
    <row r="93" spans="2:17" ht="15.75" x14ac:dyDescent="0.25">
      <c r="B93" s="1060" t="s">
        <v>101</v>
      </c>
      <c r="C93" s="1063">
        <v>2.0299999999999998</v>
      </c>
      <c r="D93" s="1062" t="s">
        <v>46</v>
      </c>
      <c r="I93" s="17"/>
      <c r="J93" s="17"/>
      <c r="K93" s="17"/>
      <c r="L93" s="17"/>
      <c r="M93" s="17"/>
      <c r="N93" s="17"/>
      <c r="O93" s="17"/>
      <c r="P93" s="17"/>
      <c r="Q93" s="17"/>
    </row>
    <row r="94" spans="2:17" ht="15.75" x14ac:dyDescent="0.25">
      <c r="B94" s="1060" t="s">
        <v>102</v>
      </c>
      <c r="C94" s="1061">
        <v>2570</v>
      </c>
      <c r="D94" s="1062" t="s">
        <v>333</v>
      </c>
      <c r="I94" s="17"/>
      <c r="J94" s="17"/>
      <c r="K94" s="17"/>
      <c r="L94" s="17"/>
      <c r="M94" s="17"/>
      <c r="N94" s="17"/>
      <c r="O94" s="17"/>
      <c r="P94" s="17"/>
      <c r="Q94" s="17"/>
    </row>
    <row r="95" spans="2:17" ht="15.75" x14ac:dyDescent="0.25">
      <c r="B95" s="1060" t="s">
        <v>103</v>
      </c>
      <c r="C95" s="1061">
        <v>285</v>
      </c>
      <c r="D95" s="1062" t="s">
        <v>333</v>
      </c>
      <c r="I95" s="17"/>
      <c r="J95" s="17"/>
      <c r="K95" s="17"/>
      <c r="L95" s="17"/>
      <c r="M95" s="17"/>
      <c r="N95" s="17"/>
      <c r="O95" s="17"/>
      <c r="P95" s="17"/>
      <c r="Q95" s="17"/>
    </row>
    <row r="96" spans="2:17" ht="15.75" x14ac:dyDescent="0.25">
      <c r="B96" s="1060" t="s">
        <v>104</v>
      </c>
      <c r="C96" s="1063">
        <v>1.24</v>
      </c>
      <c r="D96" s="1062" t="s">
        <v>237</v>
      </c>
      <c r="I96" s="17"/>
      <c r="J96" s="17"/>
      <c r="K96" s="17"/>
      <c r="L96" s="17"/>
      <c r="M96" s="17"/>
      <c r="N96" s="17"/>
      <c r="O96" s="17"/>
      <c r="P96" s="17"/>
      <c r="Q96" s="17"/>
    </row>
    <row r="97" spans="2:17" ht="15.75" x14ac:dyDescent="0.25">
      <c r="B97" s="1064" t="s">
        <v>105</v>
      </c>
      <c r="C97" s="1065">
        <v>1.1000000000000001</v>
      </c>
      <c r="D97" s="1066" t="s">
        <v>237</v>
      </c>
      <c r="I97" s="17"/>
      <c r="J97" s="17"/>
      <c r="K97" s="17"/>
      <c r="L97" s="17"/>
      <c r="M97" s="17"/>
      <c r="N97" s="17"/>
      <c r="O97" s="17"/>
      <c r="P97" s="17"/>
      <c r="Q97" s="17"/>
    </row>
    <row r="98" spans="2:17" x14ac:dyDescent="0.2">
      <c r="I98" s="17"/>
      <c r="J98" s="17"/>
      <c r="K98" s="17"/>
      <c r="L98" s="17"/>
      <c r="M98" s="17"/>
      <c r="N98" s="17"/>
      <c r="O98" s="17"/>
      <c r="P98" s="17"/>
      <c r="Q98" s="17"/>
    </row>
    <row r="99" spans="2:17" x14ac:dyDescent="0.2">
      <c r="I99" s="17"/>
      <c r="J99" s="17"/>
      <c r="K99" s="17"/>
      <c r="L99" s="17"/>
      <c r="M99" s="17"/>
      <c r="N99" s="17"/>
      <c r="O99" s="17"/>
      <c r="P99" s="17"/>
      <c r="Q99" s="17"/>
    </row>
    <row r="100" spans="2:17" x14ac:dyDescent="0.2">
      <c r="I100" s="17"/>
      <c r="J100" s="17"/>
      <c r="K100" s="17"/>
      <c r="L100" s="17"/>
      <c r="M100" s="17"/>
      <c r="N100" s="17"/>
      <c r="O100" s="17"/>
      <c r="P100" s="17"/>
      <c r="Q100" s="17"/>
    </row>
    <row r="101" spans="2:17" x14ac:dyDescent="0.2">
      <c r="I101" s="17"/>
      <c r="J101" s="17"/>
      <c r="K101" s="17"/>
      <c r="L101" s="17"/>
      <c r="M101" s="17"/>
      <c r="N101" s="17"/>
      <c r="O101" s="17"/>
      <c r="P101" s="17"/>
      <c r="Q101" s="17"/>
    </row>
    <row r="102" spans="2:17" x14ac:dyDescent="0.2">
      <c r="I102" s="17"/>
      <c r="J102" s="17"/>
      <c r="K102" s="17"/>
      <c r="L102" s="17"/>
      <c r="M102" s="17"/>
      <c r="N102" s="17"/>
      <c r="O102" s="17"/>
      <c r="P102" s="17"/>
      <c r="Q102" s="17"/>
    </row>
    <row r="103" spans="2:17" x14ac:dyDescent="0.2">
      <c r="I103" s="17"/>
      <c r="J103" s="17"/>
      <c r="K103" s="17"/>
      <c r="L103" s="17"/>
      <c r="M103" s="17"/>
      <c r="N103" s="17"/>
      <c r="O103" s="17"/>
      <c r="P103" s="17"/>
      <c r="Q103" s="17"/>
    </row>
    <row r="104" spans="2:17" x14ac:dyDescent="0.2">
      <c r="I104" s="17"/>
      <c r="J104" s="17"/>
      <c r="K104" s="17"/>
      <c r="L104" s="17"/>
      <c r="M104" s="17"/>
      <c r="N104" s="17"/>
      <c r="O104" s="17"/>
      <c r="P104" s="17"/>
      <c r="Q104" s="17"/>
    </row>
    <row r="105" spans="2:17" ht="18.75" x14ac:dyDescent="0.3">
      <c r="B105" s="959" t="s">
        <v>106</v>
      </c>
      <c r="C105" s="986"/>
      <c r="D105" s="986"/>
      <c r="E105" s="182"/>
      <c r="I105" s="17"/>
      <c r="J105" s="17"/>
      <c r="K105" s="17"/>
      <c r="L105" s="17"/>
      <c r="M105" s="17"/>
      <c r="N105" s="17"/>
      <c r="O105" s="17"/>
      <c r="P105" s="17"/>
      <c r="Q105" s="17"/>
    </row>
    <row r="106" spans="2:17" ht="15.75" x14ac:dyDescent="0.25">
      <c r="B106" s="1067" t="s">
        <v>107</v>
      </c>
      <c r="C106" s="1068"/>
      <c r="D106" s="999">
        <v>10.199999999999999</v>
      </c>
      <c r="E106" s="1069" t="s">
        <v>391</v>
      </c>
      <c r="I106" s="17"/>
      <c r="J106" s="17"/>
      <c r="K106" s="17"/>
      <c r="L106" s="17"/>
      <c r="M106" s="17"/>
      <c r="N106" s="17"/>
      <c r="O106" s="17"/>
      <c r="P106" s="17"/>
      <c r="Q106" s="17"/>
    </row>
    <row r="107" spans="2:17" ht="15.75" x14ac:dyDescent="0.25">
      <c r="B107" s="1070" t="s">
        <v>108</v>
      </c>
      <c r="C107" s="1071"/>
      <c r="D107" s="1072">
        <v>12</v>
      </c>
      <c r="E107" s="1073" t="s">
        <v>109</v>
      </c>
      <c r="I107" s="17"/>
      <c r="J107" s="17"/>
      <c r="K107" s="17"/>
      <c r="L107" s="17"/>
      <c r="M107" s="17"/>
      <c r="N107" s="17"/>
      <c r="O107" s="17"/>
      <c r="P107" s="17"/>
      <c r="Q107" s="17"/>
    </row>
    <row r="108" spans="2:17" ht="15.75" x14ac:dyDescent="0.25">
      <c r="B108" s="1074" t="s">
        <v>110</v>
      </c>
      <c r="C108" s="1075"/>
      <c r="D108" s="1076">
        <v>3.6</v>
      </c>
      <c r="E108" s="171" t="s">
        <v>362</v>
      </c>
      <c r="I108" s="17"/>
      <c r="J108" s="17"/>
      <c r="K108" s="17"/>
      <c r="L108" s="17"/>
      <c r="M108" s="17"/>
      <c r="N108" s="17"/>
      <c r="O108" s="17"/>
      <c r="P108" s="17"/>
      <c r="Q108" s="17"/>
    </row>
    <row r="109" spans="2:17" x14ac:dyDescent="0.2">
      <c r="I109" s="17"/>
      <c r="J109" s="17"/>
      <c r="K109" s="17"/>
      <c r="L109" s="17"/>
      <c r="M109" s="17"/>
      <c r="N109" s="17"/>
      <c r="O109" s="17"/>
      <c r="P109" s="17"/>
      <c r="Q109" s="17"/>
    </row>
    <row r="110" spans="2:17" x14ac:dyDescent="0.2">
      <c r="I110" s="17"/>
      <c r="J110" s="17"/>
      <c r="K110" s="17"/>
      <c r="L110" s="17"/>
      <c r="M110" s="17"/>
      <c r="N110" s="17"/>
      <c r="O110" s="17"/>
      <c r="P110" s="17"/>
      <c r="Q110" s="17"/>
    </row>
    <row r="111" spans="2:17" x14ac:dyDescent="0.2">
      <c r="I111" s="17"/>
      <c r="J111" s="17"/>
      <c r="K111" s="17"/>
      <c r="L111" s="17"/>
      <c r="M111" s="17"/>
      <c r="N111" s="17"/>
      <c r="O111" s="17"/>
      <c r="P111" s="17"/>
      <c r="Q111" s="17"/>
    </row>
    <row r="112" spans="2:17" x14ac:dyDescent="0.2">
      <c r="I112" s="17"/>
      <c r="J112" s="17"/>
      <c r="K112" s="17"/>
      <c r="L112" s="17"/>
      <c r="M112" s="17"/>
      <c r="N112" s="17"/>
      <c r="O112" s="17"/>
      <c r="P112" s="17"/>
      <c r="Q112" s="17"/>
    </row>
    <row r="113" spans="2:14" x14ac:dyDescent="0.2"/>
    <row r="114" spans="2:14" ht="18.75" x14ac:dyDescent="0.3">
      <c r="B114" s="179" t="s">
        <v>111</v>
      </c>
      <c r="C114" s="1077"/>
      <c r="D114" s="181"/>
      <c r="E114" s="182"/>
      <c r="I114" s="17"/>
      <c r="J114" s="17"/>
      <c r="K114" s="17"/>
      <c r="L114" s="17"/>
      <c r="M114" s="17"/>
      <c r="N114" s="17"/>
    </row>
    <row r="115" spans="2:14" ht="15.75" x14ac:dyDescent="0.25">
      <c r="B115" s="1078" t="s">
        <v>112</v>
      </c>
      <c r="C115" s="1079" t="s">
        <v>113</v>
      </c>
      <c r="D115" s="1080" t="s">
        <v>392</v>
      </c>
      <c r="E115" s="1081" t="s">
        <v>391</v>
      </c>
      <c r="I115" s="17"/>
      <c r="J115" s="17"/>
      <c r="K115" s="17"/>
      <c r="L115" s="17"/>
      <c r="M115" s="17"/>
      <c r="N115" s="17"/>
    </row>
    <row r="116" spans="2:14" ht="15.75" x14ac:dyDescent="0.25">
      <c r="B116" s="1082">
        <v>1</v>
      </c>
      <c r="C116" s="1083" t="s">
        <v>320</v>
      </c>
      <c r="D116" s="1084">
        <v>10</v>
      </c>
      <c r="E116" s="1085">
        <v>20.16</v>
      </c>
      <c r="I116" s="17"/>
      <c r="J116" s="39" t="s">
        <v>119</v>
      </c>
      <c r="K116" s="149"/>
      <c r="L116" s="111"/>
      <c r="M116" s="1086"/>
      <c r="N116" s="17"/>
    </row>
    <row r="117" spans="2:14" ht="15.75" x14ac:dyDescent="0.25">
      <c r="B117" s="1087">
        <v>2</v>
      </c>
      <c r="C117" s="1088" t="s">
        <v>321</v>
      </c>
      <c r="D117" s="1089">
        <v>2</v>
      </c>
      <c r="E117" s="1090">
        <v>17.64</v>
      </c>
      <c r="I117" s="17"/>
      <c r="J117" s="1091" t="s">
        <v>169</v>
      </c>
      <c r="K117" s="1092"/>
      <c r="L117" s="1093" t="s">
        <v>14</v>
      </c>
      <c r="M117" s="119"/>
      <c r="N117" s="17"/>
    </row>
    <row r="118" spans="2:14" ht="15.75" x14ac:dyDescent="0.25">
      <c r="B118" s="1087">
        <v>3</v>
      </c>
      <c r="C118" s="1094" t="s">
        <v>117</v>
      </c>
      <c r="D118" s="1089">
        <v>150</v>
      </c>
      <c r="E118" s="1090">
        <v>36.119999999999997</v>
      </c>
      <c r="I118" s="17"/>
      <c r="J118" s="229" t="s">
        <v>123</v>
      </c>
      <c r="K118" s="1095"/>
      <c r="L118" s="1096">
        <v>343.54586691227399</v>
      </c>
      <c r="M118" s="1097" t="s">
        <v>22</v>
      </c>
      <c r="N118" s="17"/>
    </row>
    <row r="119" spans="2:14" ht="15.75" x14ac:dyDescent="0.25">
      <c r="B119" s="1087">
        <v>4</v>
      </c>
      <c r="C119" s="1094" t="s">
        <v>118</v>
      </c>
      <c r="D119" s="1089">
        <v>35</v>
      </c>
      <c r="E119" s="1090">
        <v>21.84</v>
      </c>
      <c r="I119" s="17"/>
      <c r="J119" s="229" t="s">
        <v>125</v>
      </c>
      <c r="K119" s="1095"/>
      <c r="L119" s="1098">
        <v>0</v>
      </c>
      <c r="M119" s="320" t="s">
        <v>22</v>
      </c>
      <c r="N119" s="17"/>
    </row>
    <row r="120" spans="2:14" ht="15.75" x14ac:dyDescent="0.25">
      <c r="B120" s="1087">
        <v>5</v>
      </c>
      <c r="C120" s="1094" t="s">
        <v>120</v>
      </c>
      <c r="D120" s="1089">
        <v>3</v>
      </c>
      <c r="E120" s="1090">
        <v>13.44</v>
      </c>
      <c r="I120" s="17"/>
      <c r="J120" s="237" t="s">
        <v>127</v>
      </c>
      <c r="K120" s="1099"/>
      <c r="L120" s="1100">
        <v>0</v>
      </c>
      <c r="M120" s="379" t="s">
        <v>22</v>
      </c>
      <c r="N120" s="17"/>
    </row>
    <row r="121" spans="2:14" ht="15.75" x14ac:dyDescent="0.25">
      <c r="B121" s="1087">
        <v>6</v>
      </c>
      <c r="C121" s="1094" t="s">
        <v>122</v>
      </c>
      <c r="D121" s="1089">
        <v>3</v>
      </c>
      <c r="E121" s="1090">
        <v>13.44</v>
      </c>
      <c r="I121" s="17"/>
      <c r="J121" s="17"/>
      <c r="K121" s="17"/>
      <c r="L121" s="17"/>
      <c r="M121" s="17"/>
      <c r="N121" s="17"/>
    </row>
    <row r="122" spans="2:14" ht="15.75" x14ac:dyDescent="0.25">
      <c r="B122" s="1087">
        <v>7</v>
      </c>
      <c r="C122" s="1094" t="s">
        <v>327</v>
      </c>
      <c r="D122" s="1089">
        <v>4</v>
      </c>
      <c r="E122" s="1090">
        <v>11.76</v>
      </c>
      <c r="I122" s="17"/>
      <c r="J122" s="39" t="s">
        <v>119</v>
      </c>
      <c r="K122" s="149"/>
      <c r="L122" s="149"/>
      <c r="M122" s="228"/>
      <c r="N122" s="17"/>
    </row>
    <row r="123" spans="2:14" ht="15.75" x14ac:dyDescent="0.25">
      <c r="B123" s="1101">
        <v>8</v>
      </c>
      <c r="C123" s="1102" t="s">
        <v>381</v>
      </c>
      <c r="D123" s="1103">
        <v>1</v>
      </c>
      <c r="E123" s="1104">
        <v>11.76</v>
      </c>
      <c r="I123" s="17"/>
      <c r="J123" s="1091" t="s">
        <v>169</v>
      </c>
      <c r="K123" s="1092"/>
      <c r="L123" s="1105" t="s">
        <v>12</v>
      </c>
      <c r="M123" s="51"/>
      <c r="N123" s="17"/>
    </row>
    <row r="124" spans="2:14" ht="15" x14ac:dyDescent="0.25">
      <c r="I124" s="17"/>
      <c r="J124" s="229" t="s">
        <v>123</v>
      </c>
      <c r="K124" s="1095"/>
      <c r="L124" s="1106">
        <v>440.15551710899803</v>
      </c>
      <c r="M124" s="1107" t="s">
        <v>22</v>
      </c>
      <c r="N124" s="17"/>
    </row>
    <row r="125" spans="2:14" ht="15" x14ac:dyDescent="0.25">
      <c r="I125" s="17"/>
      <c r="J125" s="229" t="s">
        <v>125</v>
      </c>
      <c r="K125" s="1095"/>
      <c r="L125" s="1098">
        <v>0</v>
      </c>
      <c r="M125" s="320" t="s">
        <v>22</v>
      </c>
      <c r="N125" s="17"/>
    </row>
    <row r="126" spans="2:14" ht="15" x14ac:dyDescent="0.25">
      <c r="I126" s="17"/>
      <c r="J126" s="237" t="s">
        <v>127</v>
      </c>
      <c r="K126" s="1099"/>
      <c r="L126" s="1100">
        <v>0</v>
      </c>
      <c r="M126" s="379" t="s">
        <v>22</v>
      </c>
      <c r="N126" s="17"/>
    </row>
    <row r="127" spans="2:14" x14ac:dyDescent="0.2">
      <c r="I127" s="17"/>
      <c r="J127" s="17"/>
      <c r="K127" s="17"/>
      <c r="L127" s="17"/>
      <c r="M127" s="17"/>
      <c r="N127" s="17"/>
    </row>
    <row r="128" spans="2:14" ht="14.25" x14ac:dyDescent="0.2">
      <c r="I128" s="17"/>
      <c r="J128" s="39" t="s">
        <v>119</v>
      </c>
      <c r="K128" s="149"/>
      <c r="L128" s="111"/>
      <c r="M128" s="1086"/>
      <c r="N128" s="17"/>
    </row>
    <row r="129" spans="2:14" ht="15.75" x14ac:dyDescent="0.25">
      <c r="I129" s="17"/>
      <c r="J129" s="1091" t="s">
        <v>169</v>
      </c>
      <c r="K129" s="1092"/>
      <c r="L129" s="1105" t="s">
        <v>13</v>
      </c>
      <c r="M129" s="495"/>
      <c r="N129" s="17"/>
    </row>
    <row r="130" spans="2:14" ht="15" x14ac:dyDescent="0.25">
      <c r="I130" s="17"/>
      <c r="J130" s="229" t="s">
        <v>123</v>
      </c>
      <c r="K130" s="1095"/>
      <c r="L130" s="1108">
        <v>383.59645312165497</v>
      </c>
      <c r="M130" s="1109" t="s">
        <v>22</v>
      </c>
      <c r="N130" s="17"/>
    </row>
    <row r="131" spans="2:14" ht="18.75" x14ac:dyDescent="0.3">
      <c r="B131" s="1110" t="s">
        <v>128</v>
      </c>
      <c r="C131" s="1111"/>
      <c r="I131" s="17"/>
      <c r="J131" s="229" t="s">
        <v>125</v>
      </c>
      <c r="K131" s="1095"/>
      <c r="L131" s="1112">
        <v>0</v>
      </c>
      <c r="M131" s="705" t="s">
        <v>22</v>
      </c>
      <c r="N131" s="17"/>
    </row>
    <row r="132" spans="2:14" ht="18.75" x14ac:dyDescent="0.3">
      <c r="B132" s="1113" t="s">
        <v>129</v>
      </c>
      <c r="C132" s="1114"/>
      <c r="I132" s="17"/>
      <c r="J132" s="237" t="s">
        <v>127</v>
      </c>
      <c r="K132" s="1099"/>
      <c r="L132" s="1115">
        <v>0</v>
      </c>
      <c r="M132" s="1116" t="s">
        <v>22</v>
      </c>
      <c r="N132" s="17"/>
    </row>
    <row r="133" spans="2:14" ht="15.75" x14ac:dyDescent="0.25">
      <c r="B133" s="1117" t="s">
        <v>8</v>
      </c>
      <c r="C133" s="1118" t="s">
        <v>361</v>
      </c>
      <c r="I133" s="17"/>
      <c r="J133" s="17"/>
      <c r="K133" s="17"/>
      <c r="L133" s="17"/>
      <c r="M133" s="17"/>
      <c r="N133" s="17"/>
    </row>
    <row r="134" spans="2:14" ht="15.75" x14ac:dyDescent="0.25">
      <c r="B134" s="1119">
        <v>600</v>
      </c>
      <c r="C134" s="1120">
        <v>59</v>
      </c>
      <c r="I134" s="17"/>
      <c r="J134" s="17"/>
      <c r="K134" s="17"/>
      <c r="L134" s="17"/>
      <c r="M134" s="17"/>
      <c r="N134" s="17"/>
    </row>
    <row r="135" spans="2:14" ht="15.75" x14ac:dyDescent="0.25">
      <c r="B135" s="1121">
        <v>300</v>
      </c>
      <c r="C135" s="1122">
        <v>37</v>
      </c>
      <c r="I135" s="17"/>
      <c r="J135" s="17"/>
      <c r="K135" s="17"/>
      <c r="L135" s="17"/>
      <c r="M135" s="17"/>
      <c r="N135" s="17"/>
    </row>
    <row r="136" spans="2:14" ht="15.75" x14ac:dyDescent="0.25">
      <c r="B136" s="1121">
        <v>200</v>
      </c>
      <c r="C136" s="1122">
        <v>29</v>
      </c>
      <c r="I136" s="17"/>
      <c r="J136" s="17"/>
      <c r="K136" s="17"/>
      <c r="L136" s="17"/>
      <c r="M136" s="17"/>
      <c r="N136" s="17"/>
    </row>
    <row r="137" spans="2:14" ht="15.75" x14ac:dyDescent="0.25">
      <c r="B137" s="1121">
        <v>100</v>
      </c>
      <c r="C137" s="1122">
        <v>21</v>
      </c>
      <c r="I137" s="17"/>
      <c r="J137" s="17"/>
      <c r="K137" s="17"/>
      <c r="L137" s="17"/>
      <c r="M137" s="17"/>
      <c r="N137" s="17"/>
    </row>
    <row r="138" spans="2:14" ht="15.75" x14ac:dyDescent="0.25">
      <c r="B138" s="1121">
        <v>6</v>
      </c>
      <c r="C138" s="1122">
        <v>9</v>
      </c>
      <c r="H138" s="17"/>
      <c r="I138" s="17"/>
      <c r="J138" s="17"/>
      <c r="K138" s="17"/>
      <c r="L138" s="17"/>
      <c r="M138" s="17"/>
      <c r="N138" s="17"/>
    </row>
    <row r="139" spans="2:14" ht="15.75" x14ac:dyDescent="0.25">
      <c r="B139" s="1123">
        <v>3</v>
      </c>
      <c r="C139" s="1124">
        <v>7</v>
      </c>
      <c r="H139" s="17"/>
      <c r="I139" s="17"/>
      <c r="J139" s="17"/>
      <c r="K139" s="17"/>
      <c r="L139" s="17"/>
      <c r="M139" s="17"/>
      <c r="N139" s="17"/>
    </row>
    <row r="140" spans="2:14" ht="15" x14ac:dyDescent="0.25">
      <c r="H140" s="17"/>
      <c r="I140" s="256" t="s">
        <v>131</v>
      </c>
      <c r="J140" s="257"/>
      <c r="K140" s="257"/>
      <c r="L140" s="257"/>
      <c r="M140" s="1125"/>
      <c r="N140" s="397"/>
    </row>
    <row r="141" spans="2:14" ht="15" x14ac:dyDescent="0.25">
      <c r="B141" s="54"/>
      <c r="H141" s="17"/>
      <c r="I141" s="260" t="s">
        <v>121</v>
      </c>
      <c r="J141" s="654" t="s">
        <v>14</v>
      </c>
      <c r="K141" s="654" t="s">
        <v>12</v>
      </c>
      <c r="L141" s="654" t="s">
        <v>13</v>
      </c>
      <c r="M141" s="1126"/>
      <c r="N141" s="17"/>
    </row>
    <row r="142" spans="2:14" ht="15" x14ac:dyDescent="0.25">
      <c r="H142" s="17"/>
      <c r="I142" s="1127" t="s">
        <v>132</v>
      </c>
      <c r="J142" s="52">
        <v>3.6567703878497499</v>
      </c>
      <c r="K142" s="52">
        <v>3.9404473433098599</v>
      </c>
      <c r="L142" s="52">
        <v>4.2242320535549496</v>
      </c>
      <c r="M142" s="1017" t="s">
        <v>133</v>
      </c>
      <c r="N142" s="266"/>
    </row>
    <row r="143" spans="2:14" ht="15" x14ac:dyDescent="0.25">
      <c r="H143" s="17"/>
      <c r="I143" s="1128"/>
      <c r="J143" s="263"/>
      <c r="K143" s="263"/>
      <c r="L143" s="263"/>
      <c r="M143" s="1129"/>
      <c r="N143" s="266"/>
    </row>
    <row r="144" spans="2:14" ht="15" x14ac:dyDescent="0.25">
      <c r="H144" s="17"/>
      <c r="I144" s="17"/>
      <c r="J144" s="17"/>
      <c r="K144" s="17"/>
      <c r="N144" s="266"/>
    </row>
    <row r="145" spans="2:14" x14ac:dyDescent="0.2">
      <c r="H145" s="17"/>
      <c r="I145" s="17"/>
      <c r="J145" s="17"/>
      <c r="K145" s="17"/>
      <c r="L145" s="17"/>
      <c r="M145" s="17"/>
      <c r="N145" s="17"/>
    </row>
    <row r="146" spans="2:14" x14ac:dyDescent="0.2">
      <c r="H146" s="17"/>
      <c r="I146" s="17"/>
      <c r="J146" s="17"/>
      <c r="K146" s="17"/>
      <c r="L146" s="17"/>
      <c r="M146" s="17"/>
      <c r="N146" s="17"/>
    </row>
    <row r="147" spans="2:14" ht="18.75" x14ac:dyDescent="0.3">
      <c r="B147" s="1110" t="s">
        <v>363</v>
      </c>
      <c r="C147" s="1130"/>
      <c r="H147" s="17"/>
      <c r="I147" s="396"/>
      <c r="J147" s="397"/>
      <c r="K147" s="397"/>
      <c r="L147" s="17"/>
      <c r="M147" s="17"/>
      <c r="N147" s="17"/>
    </row>
    <row r="148" spans="2:14" ht="14.25" x14ac:dyDescent="0.2">
      <c r="B148" s="1131" t="s">
        <v>130</v>
      </c>
      <c r="C148" s="248"/>
      <c r="H148" s="17"/>
      <c r="I148" s="17"/>
      <c r="J148" s="17"/>
      <c r="K148" s="17"/>
      <c r="L148" s="17"/>
      <c r="M148" s="17"/>
      <c r="N148" s="17"/>
    </row>
    <row r="149" spans="2:14" x14ac:dyDescent="0.2">
      <c r="B149" s="1132" t="s">
        <v>8</v>
      </c>
      <c r="C149" s="1133" t="s">
        <v>361</v>
      </c>
    </row>
    <row r="150" spans="2:14" x14ac:dyDescent="0.2">
      <c r="B150" s="1134">
        <v>600</v>
      </c>
      <c r="C150" s="1135">
        <v>59</v>
      </c>
    </row>
    <row r="151" spans="2:14" x14ac:dyDescent="0.2">
      <c r="B151" s="1136">
        <v>300</v>
      </c>
      <c r="C151" s="1137">
        <v>37</v>
      </c>
    </row>
    <row r="152" spans="2:14" x14ac:dyDescent="0.2">
      <c r="H152" s="17"/>
      <c r="I152" s="17"/>
      <c r="J152" s="17"/>
      <c r="K152" s="17"/>
      <c r="L152" s="17"/>
      <c r="M152" s="17"/>
    </row>
    <row r="153" spans="2:14" x14ac:dyDescent="0.2">
      <c r="H153" s="17"/>
      <c r="I153" s="17"/>
      <c r="J153" s="17"/>
      <c r="K153" s="17"/>
      <c r="L153" s="17"/>
      <c r="M153" s="17"/>
    </row>
    <row r="154" spans="2:14" x14ac:dyDescent="0.2">
      <c r="H154" s="17"/>
      <c r="I154" s="17"/>
      <c r="J154" s="17"/>
      <c r="K154" s="17"/>
      <c r="L154" s="17"/>
      <c r="M154" s="17"/>
    </row>
    <row r="155" spans="2:14" x14ac:dyDescent="0.2">
      <c r="H155" s="17"/>
      <c r="I155" s="17"/>
      <c r="J155" s="17"/>
      <c r="K155" s="17"/>
      <c r="L155" s="17"/>
      <c r="M155" s="17"/>
    </row>
    <row r="156" spans="2:14" x14ac:dyDescent="0.2">
      <c r="H156" s="17"/>
      <c r="I156" s="17"/>
      <c r="J156" s="17"/>
      <c r="K156" s="17"/>
      <c r="L156" s="17"/>
      <c r="M156" s="17"/>
    </row>
    <row r="157" spans="2:14" x14ac:dyDescent="0.2">
      <c r="H157" s="17"/>
      <c r="I157" s="17"/>
      <c r="J157" s="17"/>
      <c r="K157" s="17"/>
      <c r="L157" s="17"/>
      <c r="M157" s="17"/>
    </row>
    <row r="158" spans="2:14" x14ac:dyDescent="0.2">
      <c r="H158" s="17"/>
      <c r="I158" s="17"/>
      <c r="J158" s="17"/>
      <c r="K158" s="17"/>
      <c r="L158" s="17"/>
      <c r="M158" s="17"/>
    </row>
    <row r="159" spans="2:14" ht="18.75" x14ac:dyDescent="0.3">
      <c r="B159" s="1138" t="s">
        <v>134</v>
      </c>
      <c r="C159" s="64"/>
      <c r="D159" s="64"/>
      <c r="E159" s="65"/>
      <c r="H159" s="17"/>
      <c r="I159" s="17"/>
      <c r="J159" s="17"/>
      <c r="K159" s="17"/>
      <c r="L159" s="17"/>
      <c r="M159" s="17"/>
    </row>
    <row r="160" spans="2:14" ht="15.75" x14ac:dyDescent="0.25">
      <c r="B160" s="1057" t="s">
        <v>135</v>
      </c>
      <c r="C160" s="1139"/>
      <c r="D160" s="1058">
        <v>60</v>
      </c>
      <c r="E160" s="1140" t="s">
        <v>232</v>
      </c>
      <c r="H160" s="17"/>
      <c r="I160" s="17"/>
      <c r="J160" s="17"/>
      <c r="K160" s="17"/>
      <c r="L160" s="17"/>
      <c r="M160" s="17"/>
    </row>
    <row r="161" spans="2:14" ht="15.75" x14ac:dyDescent="0.25">
      <c r="B161" s="1070" t="s">
        <v>136</v>
      </c>
      <c r="C161" s="1071"/>
      <c r="D161" s="1072">
        <v>38</v>
      </c>
      <c r="E161" s="1141" t="s">
        <v>232</v>
      </c>
      <c r="H161" s="17"/>
      <c r="I161" s="17"/>
      <c r="J161" s="17"/>
      <c r="K161" s="17"/>
      <c r="L161" s="17"/>
      <c r="M161" s="17"/>
    </row>
    <row r="162" spans="2:14" ht="15.75" x14ac:dyDescent="0.25">
      <c r="B162" s="1070" t="s">
        <v>137</v>
      </c>
      <c r="C162" s="1142"/>
      <c r="D162" s="1061">
        <v>0</v>
      </c>
      <c r="E162" s="1141" t="s">
        <v>393</v>
      </c>
      <c r="H162" s="17"/>
      <c r="I162" s="17"/>
      <c r="J162" s="17"/>
      <c r="K162" s="17"/>
      <c r="L162" s="17"/>
      <c r="M162" s="17"/>
    </row>
    <row r="163" spans="2:14" ht="15.75" x14ac:dyDescent="0.25">
      <c r="B163" s="1074" t="s">
        <v>138</v>
      </c>
      <c r="C163" s="1143"/>
      <c r="D163" s="1144">
        <v>322</v>
      </c>
      <c r="E163" s="1145" t="s">
        <v>394</v>
      </c>
      <c r="H163" s="17"/>
      <c r="I163" s="17"/>
      <c r="J163" s="17"/>
      <c r="K163" s="17"/>
      <c r="L163" s="17"/>
      <c r="M163" s="17"/>
    </row>
    <row r="164" spans="2:14" x14ac:dyDescent="0.2">
      <c r="H164" s="17"/>
      <c r="I164" s="17"/>
      <c r="J164" s="17"/>
      <c r="K164" s="17"/>
      <c r="L164" s="17"/>
      <c r="M164" s="17"/>
    </row>
    <row r="165" spans="2:14" x14ac:dyDescent="0.2">
      <c r="C165" s="54"/>
      <c r="H165" s="17"/>
      <c r="I165" s="17"/>
      <c r="J165" s="17"/>
      <c r="K165" s="17"/>
      <c r="L165" s="17"/>
      <c r="M165" s="17"/>
    </row>
    <row r="166" spans="2:14" x14ac:dyDescent="0.2">
      <c r="H166" s="17"/>
      <c r="I166" s="17"/>
      <c r="J166" s="17"/>
      <c r="K166" s="17"/>
      <c r="L166" s="17"/>
      <c r="M166" s="17"/>
    </row>
    <row r="167" spans="2:14" x14ac:dyDescent="0.2">
      <c r="H167" s="17"/>
      <c r="I167" s="17"/>
      <c r="J167" s="17"/>
      <c r="K167" s="17"/>
      <c r="L167" s="17"/>
      <c r="M167" s="17"/>
    </row>
    <row r="168" spans="2:14" x14ac:dyDescent="0.2">
      <c r="H168" s="17"/>
      <c r="I168" s="17"/>
      <c r="J168" s="17"/>
      <c r="K168" s="17"/>
      <c r="L168" s="17"/>
      <c r="M168" s="17"/>
    </row>
    <row r="169" spans="2:14" x14ac:dyDescent="0.2">
      <c r="H169" s="17"/>
      <c r="I169" s="17"/>
      <c r="J169" s="17"/>
      <c r="K169" s="17"/>
      <c r="L169" s="17"/>
      <c r="M169" s="17"/>
    </row>
    <row r="170" spans="2:14" x14ac:dyDescent="0.2">
      <c r="H170" s="17"/>
      <c r="I170" s="17"/>
      <c r="J170" s="17"/>
      <c r="K170" s="17"/>
      <c r="L170" s="17"/>
      <c r="M170" s="17"/>
    </row>
    <row r="171" spans="2:14" x14ac:dyDescent="0.2">
      <c r="H171" s="17"/>
      <c r="I171" s="17"/>
      <c r="J171" s="17"/>
      <c r="K171" s="17"/>
      <c r="L171" s="17"/>
      <c r="M171" s="17"/>
    </row>
    <row r="172" spans="2:14" x14ac:dyDescent="0.2">
      <c r="H172" s="17"/>
      <c r="I172" s="17"/>
      <c r="J172" s="17"/>
      <c r="K172" s="17"/>
      <c r="L172" s="17"/>
      <c r="M172" s="17"/>
    </row>
    <row r="175" spans="2:14" x14ac:dyDescent="0.2">
      <c r="H175" s="17"/>
      <c r="I175" s="17"/>
      <c r="J175" s="17"/>
      <c r="K175" s="17"/>
      <c r="L175" s="17"/>
      <c r="M175" s="17"/>
      <c r="N175" s="17"/>
    </row>
    <row r="176" spans="2:14" x14ac:dyDescent="0.2">
      <c r="H176" s="17"/>
      <c r="I176" s="17"/>
      <c r="J176" s="17"/>
      <c r="K176" s="17"/>
      <c r="L176" s="17"/>
      <c r="M176" s="17"/>
      <c r="N176" s="17"/>
    </row>
    <row r="177" spans="8:14" ht="15" x14ac:dyDescent="0.25">
      <c r="H177" s="17"/>
      <c r="I177" s="1146" t="s">
        <v>139</v>
      </c>
      <c r="J177" s="1147"/>
      <c r="K177" s="1147"/>
      <c r="L177" s="1148"/>
      <c r="M177" s="1149"/>
      <c r="N177" s="398"/>
    </row>
    <row r="178" spans="8:14" ht="15" x14ac:dyDescent="0.25">
      <c r="H178" s="17"/>
      <c r="I178" s="260" t="s">
        <v>121</v>
      </c>
      <c r="J178" s="654" t="s">
        <v>14</v>
      </c>
      <c r="K178" s="654" t="s">
        <v>12</v>
      </c>
      <c r="L178" s="654" t="s">
        <v>13</v>
      </c>
      <c r="M178" s="1126"/>
      <c r="N178" s="17"/>
    </row>
    <row r="179" spans="8:14" ht="15" x14ac:dyDescent="0.25">
      <c r="H179" s="17"/>
      <c r="I179" s="237" t="s">
        <v>132</v>
      </c>
      <c r="J179" s="263">
        <v>0</v>
      </c>
      <c r="K179" s="263">
        <v>0</v>
      </c>
      <c r="L179" s="263">
        <v>0</v>
      </c>
      <c r="M179" s="1150" t="s">
        <v>133</v>
      </c>
      <c r="N179" s="266"/>
    </row>
    <row r="180" spans="8:14" ht="15" x14ac:dyDescent="0.25">
      <c r="H180" s="17"/>
      <c r="I180" s="265"/>
      <c r="J180" s="265"/>
      <c r="K180" s="265"/>
      <c r="L180" s="283"/>
      <c r="N180" s="283"/>
    </row>
    <row r="181" spans="8:14" ht="15" x14ac:dyDescent="0.25">
      <c r="H181" s="17"/>
      <c r="I181" s="284"/>
      <c r="J181" s="284"/>
      <c r="K181" s="284"/>
      <c r="L181" s="283"/>
      <c r="N181" s="283"/>
    </row>
    <row r="182" spans="8:14" ht="15" x14ac:dyDescent="0.25">
      <c r="H182" s="17"/>
      <c r="I182" s="17"/>
      <c r="J182" s="17"/>
      <c r="K182" s="17"/>
      <c r="N182" s="283"/>
    </row>
    <row r="183" spans="8:14" x14ac:dyDescent="0.2">
      <c r="H183" s="17"/>
      <c r="I183" s="17"/>
      <c r="J183" s="17"/>
      <c r="K183" s="17"/>
      <c r="L183" s="17"/>
      <c r="M183" s="17"/>
      <c r="N183" s="17"/>
    </row>
    <row r="184" spans="8:14" x14ac:dyDescent="0.2">
      <c r="H184" s="17"/>
      <c r="I184" s="17"/>
      <c r="J184" s="17"/>
      <c r="K184" s="17"/>
      <c r="L184" s="17"/>
      <c r="M184" s="17"/>
      <c r="N184" s="17"/>
    </row>
    <row r="185" spans="8:14" ht="15" x14ac:dyDescent="0.25">
      <c r="H185" s="17"/>
      <c r="I185" s="17"/>
      <c r="J185" s="396"/>
      <c r="K185" s="398"/>
      <c r="L185" s="398"/>
      <c r="M185" s="17"/>
      <c r="N185" s="17"/>
    </row>
    <row r="186" spans="8:14" x14ac:dyDescent="0.2">
      <c r="H186" s="17"/>
      <c r="I186" s="17"/>
      <c r="J186" s="17"/>
      <c r="K186" s="17"/>
      <c r="M186" s="17"/>
      <c r="N186" s="17"/>
    </row>
    <row r="187" spans="8:14" x14ac:dyDescent="0.2">
      <c r="H187" s="17"/>
      <c r="I187" s="17"/>
      <c r="J187" s="17"/>
      <c r="K187" s="17"/>
      <c r="M187" s="17"/>
      <c r="N187" s="17"/>
    </row>
    <row r="190" spans="8:14" x14ac:dyDescent="0.2">
      <c r="H190" s="17"/>
      <c r="I190" s="17"/>
      <c r="J190" s="17"/>
      <c r="K190" s="17"/>
      <c r="L190" s="17"/>
      <c r="M190" s="17"/>
      <c r="N190" s="17"/>
    </row>
    <row r="191" spans="8:14" x14ac:dyDescent="0.2">
      <c r="H191" s="17"/>
      <c r="I191" s="17"/>
      <c r="J191" s="17"/>
      <c r="K191" s="17"/>
      <c r="L191" s="17"/>
      <c r="M191" s="17"/>
      <c r="N191" s="17"/>
    </row>
    <row r="192" spans="8:14" x14ac:dyDescent="0.2">
      <c r="H192" s="17"/>
      <c r="I192" s="17"/>
      <c r="J192" s="17"/>
      <c r="K192" s="17"/>
      <c r="L192" s="17"/>
      <c r="M192" s="17"/>
      <c r="N192" s="17"/>
    </row>
    <row r="193" spans="8:14" x14ac:dyDescent="0.2">
      <c r="H193" s="17"/>
      <c r="I193" s="17"/>
      <c r="J193" s="17"/>
      <c r="K193" s="17"/>
      <c r="L193" s="17"/>
      <c r="M193" s="17"/>
      <c r="N193" s="17"/>
    </row>
    <row r="194" spans="8:14" x14ac:dyDescent="0.2">
      <c r="H194" s="17"/>
      <c r="I194" s="17"/>
      <c r="J194" s="17"/>
      <c r="K194" s="17"/>
      <c r="L194" s="17"/>
      <c r="M194" s="17"/>
      <c r="N194" s="17"/>
    </row>
    <row r="195" spans="8:14" x14ac:dyDescent="0.2">
      <c r="H195" s="17"/>
      <c r="I195" s="17"/>
      <c r="J195" s="17"/>
      <c r="K195" s="17"/>
      <c r="L195" s="17"/>
      <c r="M195" s="17"/>
      <c r="N195" s="17"/>
    </row>
    <row r="196" spans="8:14" x14ac:dyDescent="0.2">
      <c r="H196" s="17"/>
      <c r="I196" s="17"/>
      <c r="J196" s="17"/>
      <c r="K196" s="17"/>
      <c r="L196" s="17"/>
      <c r="M196" s="17"/>
      <c r="N196" s="17"/>
    </row>
    <row r="197" spans="8:14" x14ac:dyDescent="0.2">
      <c r="H197" s="17"/>
      <c r="I197" s="17"/>
      <c r="J197" s="17"/>
      <c r="K197" s="17"/>
      <c r="L197" s="17"/>
      <c r="M197" s="17"/>
      <c r="N197" s="17"/>
    </row>
    <row r="198" spans="8:14" x14ac:dyDescent="0.2">
      <c r="H198" s="17"/>
      <c r="I198" s="17"/>
      <c r="J198" s="17"/>
      <c r="K198" s="17"/>
      <c r="L198" s="17"/>
      <c r="M198" s="17"/>
      <c r="N198" s="17"/>
    </row>
    <row r="199" spans="8:14" x14ac:dyDescent="0.2">
      <c r="H199" s="17"/>
      <c r="I199" s="17"/>
      <c r="J199" s="17"/>
      <c r="K199" s="17"/>
      <c r="L199" s="17"/>
      <c r="M199" s="17"/>
      <c r="N199" s="17"/>
    </row>
    <row r="200" spans="8:14" x14ac:dyDescent="0.2">
      <c r="H200" s="17"/>
      <c r="I200" s="17"/>
      <c r="J200" s="17"/>
      <c r="K200" s="17"/>
      <c r="L200" s="17"/>
      <c r="M200" s="17"/>
      <c r="N200" s="17"/>
    </row>
    <row r="201" spans="8:14" x14ac:dyDescent="0.2">
      <c r="H201" s="17"/>
      <c r="I201" s="17"/>
      <c r="J201" s="17"/>
      <c r="K201" s="17"/>
      <c r="L201" s="17"/>
      <c r="M201" s="17"/>
      <c r="N201" s="17"/>
    </row>
    <row r="202" spans="8:14" x14ac:dyDescent="0.2">
      <c r="H202" s="17"/>
      <c r="I202" s="17"/>
      <c r="J202" s="17"/>
      <c r="K202" s="17"/>
      <c r="L202" s="17"/>
      <c r="M202" s="17"/>
      <c r="N202" s="17"/>
    </row>
    <row r="203" spans="8:14" x14ac:dyDescent="0.2">
      <c r="H203" s="17"/>
      <c r="I203" s="17"/>
      <c r="J203" s="17"/>
      <c r="K203" s="17"/>
      <c r="L203" s="17"/>
      <c r="M203" s="17"/>
      <c r="N203" s="17"/>
    </row>
    <row r="204" spans="8:14" x14ac:dyDescent="0.2">
      <c r="H204" s="17"/>
      <c r="I204" s="17"/>
      <c r="J204" s="17"/>
      <c r="K204" s="17"/>
      <c r="L204" s="17"/>
      <c r="M204" s="17"/>
      <c r="N204" s="17"/>
    </row>
    <row r="205" spans="8:14" x14ac:dyDescent="0.2">
      <c r="H205" s="17"/>
      <c r="I205" s="17"/>
      <c r="J205" s="17"/>
      <c r="K205" s="17"/>
      <c r="L205" s="17"/>
      <c r="M205" s="17"/>
      <c r="N205" s="17"/>
    </row>
    <row r="206" spans="8:14" x14ac:dyDescent="0.2">
      <c r="H206" s="17"/>
      <c r="I206" s="17"/>
      <c r="J206" s="17"/>
      <c r="K206" s="17"/>
      <c r="L206" s="17"/>
      <c r="M206" s="17"/>
      <c r="N206" s="17"/>
    </row>
    <row r="207" spans="8:14" x14ac:dyDescent="0.2">
      <c r="H207" s="17"/>
      <c r="I207" s="17"/>
      <c r="J207" s="17"/>
      <c r="K207" s="17"/>
      <c r="L207" s="17"/>
      <c r="M207" s="17"/>
      <c r="N207" s="17"/>
    </row>
    <row r="208" spans="8:14" x14ac:dyDescent="0.2">
      <c r="H208" s="17"/>
      <c r="I208" s="17"/>
      <c r="J208" s="17"/>
      <c r="K208" s="17"/>
      <c r="L208" s="17"/>
      <c r="M208" s="17"/>
      <c r="N208" s="17"/>
    </row>
    <row r="209" spans="8:15" x14ac:dyDescent="0.2">
      <c r="H209" s="17"/>
      <c r="I209" s="17"/>
      <c r="J209" s="17"/>
      <c r="K209" s="17"/>
      <c r="L209" s="17"/>
      <c r="M209" s="17"/>
      <c r="N209" s="17"/>
    </row>
    <row r="210" spans="8:15" x14ac:dyDescent="0.2">
      <c r="H210" s="17"/>
      <c r="I210" s="17"/>
      <c r="J210" s="17"/>
      <c r="K210" s="17"/>
      <c r="L210" s="17"/>
      <c r="M210" s="17"/>
      <c r="N210" s="17"/>
    </row>
    <row r="211" spans="8:15" x14ac:dyDescent="0.2">
      <c r="H211" s="17"/>
      <c r="I211" s="17"/>
      <c r="J211" s="17"/>
      <c r="K211" s="17"/>
      <c r="L211" s="17"/>
      <c r="M211" s="17"/>
      <c r="N211" s="17"/>
    </row>
    <row r="212" spans="8:15" x14ac:dyDescent="0.2">
      <c r="H212" s="17"/>
      <c r="I212" s="17"/>
      <c r="J212" s="17"/>
      <c r="K212" s="17"/>
      <c r="L212" s="17"/>
      <c r="M212" s="17"/>
      <c r="N212" s="17"/>
    </row>
    <row r="213" spans="8:15" x14ac:dyDescent="0.2">
      <c r="H213" s="17"/>
      <c r="I213" s="17"/>
      <c r="J213" s="17"/>
      <c r="K213" s="17"/>
      <c r="L213" s="17"/>
      <c r="M213" s="17"/>
      <c r="N213" s="17"/>
      <c r="O213" s="17"/>
    </row>
    <row r="214" spans="8:15" x14ac:dyDescent="0.2">
      <c r="H214" s="17"/>
      <c r="I214" s="17"/>
      <c r="J214" s="17"/>
      <c r="K214" s="17"/>
      <c r="L214" s="17"/>
      <c r="M214" s="17"/>
      <c r="N214" s="17"/>
      <c r="O214" s="17"/>
    </row>
    <row r="215" spans="8:15" ht="14.25" x14ac:dyDescent="0.2">
      <c r="H215" s="17"/>
      <c r="I215" s="285" t="s">
        <v>140</v>
      </c>
      <c r="J215" s="286"/>
      <c r="K215" s="286"/>
      <c r="L215" s="1151"/>
      <c r="M215" s="287"/>
      <c r="N215" s="528"/>
      <c r="O215" s="17"/>
    </row>
    <row r="216" spans="8:15" ht="15" x14ac:dyDescent="0.25">
      <c r="H216" s="17"/>
      <c r="I216" s="113" t="s">
        <v>121</v>
      </c>
      <c r="J216" s="51"/>
      <c r="K216" s="1152" t="s">
        <v>14</v>
      </c>
      <c r="L216" s="1153" t="s">
        <v>12</v>
      </c>
      <c r="M216" s="1154" t="s">
        <v>13</v>
      </c>
      <c r="N216" s="119"/>
      <c r="O216" s="17"/>
    </row>
    <row r="217" spans="8:15" ht="15" x14ac:dyDescent="0.25">
      <c r="H217" s="17"/>
      <c r="I217" s="371" t="s">
        <v>141</v>
      </c>
      <c r="J217" s="1155"/>
      <c r="K217" s="1156">
        <v>0</v>
      </c>
      <c r="L217" s="1157">
        <v>0</v>
      </c>
      <c r="M217" s="1156">
        <v>0</v>
      </c>
      <c r="N217" s="1015" t="s">
        <v>22</v>
      </c>
      <c r="O217" s="17"/>
    </row>
    <row r="218" spans="8:15" ht="15" x14ac:dyDescent="0.25">
      <c r="H218" s="17"/>
      <c r="I218" s="371" t="s">
        <v>142</v>
      </c>
      <c r="J218" s="1155"/>
      <c r="K218" s="1158">
        <v>0.95042438207167201</v>
      </c>
      <c r="L218" s="1159">
        <v>0.55507792790112798</v>
      </c>
      <c r="M218" s="1158">
        <v>0.98241503559063903</v>
      </c>
      <c r="N218" s="1017" t="s">
        <v>46</v>
      </c>
      <c r="O218" s="17"/>
    </row>
    <row r="219" spans="8:15" ht="15" x14ac:dyDescent="0.25">
      <c r="H219" s="17"/>
      <c r="I219" s="371" t="s">
        <v>143</v>
      </c>
      <c r="J219" s="1155"/>
      <c r="K219" s="1158">
        <v>31.321741363811501</v>
      </c>
      <c r="L219" s="1159">
        <v>31.321741363811501</v>
      </c>
      <c r="M219" s="1158">
        <v>31.321741363811501</v>
      </c>
      <c r="N219" s="1017">
        <v>0</v>
      </c>
      <c r="O219" s="17"/>
    </row>
    <row r="220" spans="8:15" ht="15" x14ac:dyDescent="0.25">
      <c r="H220" s="17"/>
      <c r="I220" s="371" t="s">
        <v>144</v>
      </c>
      <c r="J220" s="1155"/>
      <c r="K220" s="1158">
        <v>0.48552754435107398</v>
      </c>
      <c r="L220" s="1159">
        <v>0.48552754435107398</v>
      </c>
      <c r="M220" s="1158">
        <v>0.48552754435107398</v>
      </c>
      <c r="N220" s="1017" t="s">
        <v>46</v>
      </c>
      <c r="O220" s="17"/>
    </row>
    <row r="221" spans="8:15" ht="15" x14ac:dyDescent="0.25">
      <c r="H221" s="17"/>
      <c r="I221" s="371" t="s">
        <v>145</v>
      </c>
      <c r="J221" s="1155"/>
      <c r="K221" s="1158">
        <v>8.2447810975991906</v>
      </c>
      <c r="L221" s="1159">
        <v>7.8521724739039902</v>
      </c>
      <c r="M221" s="1158">
        <v>7.8521724739039902</v>
      </c>
      <c r="N221" s="1017">
        <v>0</v>
      </c>
      <c r="O221" s="17"/>
    </row>
    <row r="222" spans="8:15" ht="15" x14ac:dyDescent="0.25">
      <c r="H222" s="17"/>
      <c r="I222" s="371" t="s">
        <v>146</v>
      </c>
      <c r="J222" s="1155"/>
      <c r="K222" s="1158">
        <v>0.26375224851078</v>
      </c>
      <c r="L222" s="1159">
        <v>0.26375224851078</v>
      </c>
      <c r="M222" s="1158">
        <v>0.26375224851078</v>
      </c>
      <c r="N222" s="1017" t="s">
        <v>73</v>
      </c>
      <c r="O222" s="17"/>
    </row>
    <row r="223" spans="8:15" ht="15" x14ac:dyDescent="0.25">
      <c r="H223" s="17"/>
      <c r="I223" s="371" t="s">
        <v>147</v>
      </c>
      <c r="J223" s="1155"/>
      <c r="K223" s="1160">
        <v>4.66211629141444E-2</v>
      </c>
      <c r="L223" s="1161">
        <v>2.3996090646434601E-2</v>
      </c>
      <c r="M223" s="1160">
        <v>0.12352637355556299</v>
      </c>
      <c r="N223" s="1017" t="s">
        <v>148</v>
      </c>
      <c r="O223" s="17"/>
    </row>
    <row r="224" spans="8:15" ht="15" x14ac:dyDescent="0.25">
      <c r="H224" s="17"/>
      <c r="I224" s="371" t="s">
        <v>149</v>
      </c>
      <c r="J224" s="1155"/>
      <c r="K224" s="1160">
        <v>1.6758059745854999E-4</v>
      </c>
      <c r="L224" s="1161">
        <v>2.1411303329776099E-4</v>
      </c>
      <c r="M224" s="1160">
        <v>2.3295169253842899E-4</v>
      </c>
      <c r="N224" s="1017" t="s">
        <v>382</v>
      </c>
      <c r="O224" s="17"/>
    </row>
    <row r="225" spans="8:15" ht="15" x14ac:dyDescent="0.25">
      <c r="H225" s="17"/>
      <c r="I225" s="371" t="s">
        <v>151</v>
      </c>
      <c r="J225" s="1155"/>
      <c r="K225" s="1158">
        <v>178.96086716410801</v>
      </c>
      <c r="L225" s="1159">
        <v>332.85104073400697</v>
      </c>
      <c r="M225" s="1158">
        <v>263.629327103234</v>
      </c>
      <c r="N225" s="1017" t="s">
        <v>48</v>
      </c>
      <c r="O225" s="17"/>
    </row>
    <row r="226" spans="8:15" ht="15" x14ac:dyDescent="0.25">
      <c r="H226" s="17"/>
      <c r="I226" s="371" t="s">
        <v>152</v>
      </c>
      <c r="J226" s="1155"/>
      <c r="K226" s="1158">
        <v>0</v>
      </c>
      <c r="L226" s="1159">
        <v>0</v>
      </c>
      <c r="M226" s="1158">
        <v>0</v>
      </c>
      <c r="N226" s="1017" t="s">
        <v>48</v>
      </c>
      <c r="O226" s="17"/>
    </row>
    <row r="227" spans="8:15" ht="15" x14ac:dyDescent="0.25">
      <c r="H227" s="17"/>
      <c r="I227" s="371" t="s">
        <v>153</v>
      </c>
      <c r="J227" s="1155"/>
      <c r="K227" s="1158">
        <v>0</v>
      </c>
      <c r="L227" s="1159">
        <v>0</v>
      </c>
      <c r="M227" s="1158">
        <v>0</v>
      </c>
      <c r="N227" s="1017" t="s">
        <v>48</v>
      </c>
      <c r="O227" s="17"/>
    </row>
    <row r="228" spans="8:15" ht="15" x14ac:dyDescent="0.25">
      <c r="H228" s="17"/>
      <c r="I228" s="317" t="s">
        <v>154</v>
      </c>
      <c r="J228" s="1162"/>
      <c r="K228" s="1160">
        <v>8.3818958257830101E+20</v>
      </c>
      <c r="L228" s="1161">
        <v>0</v>
      </c>
      <c r="M228" s="1160">
        <v>0</v>
      </c>
      <c r="N228" s="1017" t="s">
        <v>155</v>
      </c>
      <c r="O228" s="17"/>
    </row>
    <row r="229" spans="8:15" ht="15" x14ac:dyDescent="0.25">
      <c r="H229" s="17"/>
      <c r="I229" s="317" t="s">
        <v>156</v>
      </c>
      <c r="J229" s="1162"/>
      <c r="K229" s="1160">
        <v>4.72220630933616E+17</v>
      </c>
      <c r="L229" s="1161">
        <v>4.9871485320550003E+17</v>
      </c>
      <c r="M229" s="1160">
        <v>3.9057327985978099E+17</v>
      </c>
      <c r="N229" s="1017" t="s">
        <v>157</v>
      </c>
      <c r="O229" s="17"/>
    </row>
    <row r="230" spans="8:15" ht="15" x14ac:dyDescent="0.25">
      <c r="H230" s="17"/>
      <c r="I230" s="371" t="s">
        <v>158</v>
      </c>
      <c r="J230" s="1155"/>
      <c r="K230" s="1158">
        <v>0.17024986881947099</v>
      </c>
      <c r="L230" s="1159">
        <v>0.43</v>
      </c>
      <c r="M230" s="1158">
        <v>0.21701431902444199</v>
      </c>
      <c r="N230" s="1017" t="s">
        <v>46</v>
      </c>
      <c r="O230" s="17"/>
    </row>
    <row r="231" spans="8:15" ht="15" x14ac:dyDescent="0.25">
      <c r="H231" s="17"/>
      <c r="I231" s="1163" t="s">
        <v>159</v>
      </c>
      <c r="J231" s="1164"/>
      <c r="K231" s="1165">
        <v>4.6510109242649401E-11</v>
      </c>
      <c r="L231" s="1166">
        <v>0</v>
      </c>
      <c r="M231" s="1165">
        <v>0</v>
      </c>
      <c r="N231" s="264" t="s">
        <v>160</v>
      </c>
      <c r="O231" s="17"/>
    </row>
    <row r="232" spans="8:15" x14ac:dyDescent="0.2">
      <c r="H232" s="17"/>
      <c r="I232" s="17"/>
      <c r="J232" s="17"/>
      <c r="K232" s="17"/>
      <c r="L232" s="17"/>
      <c r="M232" s="17"/>
      <c r="N232" s="17"/>
      <c r="O232" s="17"/>
    </row>
    <row r="233" spans="8:15" x14ac:dyDescent="0.2">
      <c r="H233" s="17"/>
      <c r="I233" s="17"/>
      <c r="J233" s="17"/>
      <c r="K233" s="17"/>
      <c r="L233" s="17"/>
      <c r="M233" s="17"/>
      <c r="N233" s="17"/>
      <c r="O233" s="17"/>
    </row>
    <row r="234" spans="8:15" x14ac:dyDescent="0.2">
      <c r="H234" s="17"/>
      <c r="I234" s="17"/>
      <c r="J234" s="17"/>
      <c r="K234" s="17"/>
      <c r="L234" s="17"/>
      <c r="M234" s="17"/>
      <c r="N234" s="17"/>
      <c r="O234" s="17"/>
    </row>
    <row r="235" spans="8:15" x14ac:dyDescent="0.2">
      <c r="H235" s="17"/>
      <c r="I235" s="17"/>
      <c r="J235" s="17"/>
      <c r="K235" s="17"/>
      <c r="L235" s="17"/>
      <c r="M235" s="17"/>
      <c r="N235" s="17"/>
      <c r="O235" s="17"/>
    </row>
    <row r="236" spans="8:15" x14ac:dyDescent="0.2">
      <c r="H236" s="17"/>
      <c r="I236" s="17"/>
      <c r="J236" s="17"/>
      <c r="K236" s="17"/>
      <c r="L236" s="17"/>
      <c r="M236" s="17"/>
      <c r="N236" s="17"/>
      <c r="O236" s="17"/>
    </row>
    <row r="237" spans="8:15" x14ac:dyDescent="0.2">
      <c r="H237" s="17"/>
      <c r="I237" s="17"/>
      <c r="J237" s="17"/>
      <c r="K237" s="17"/>
      <c r="L237" s="17"/>
      <c r="M237" s="17"/>
      <c r="N237" s="17"/>
      <c r="O237" s="17"/>
    </row>
    <row r="238" spans="8:15" x14ac:dyDescent="0.2">
      <c r="H238" s="17"/>
      <c r="I238" s="17"/>
      <c r="J238" s="17"/>
      <c r="K238" s="17"/>
      <c r="L238" s="17"/>
      <c r="M238" s="17"/>
    </row>
    <row r="239" spans="8:15" ht="15" x14ac:dyDescent="0.25">
      <c r="H239" s="17"/>
      <c r="I239" s="39" t="s">
        <v>161</v>
      </c>
      <c r="J239" s="149"/>
      <c r="K239" s="149"/>
      <c r="L239" s="313"/>
      <c r="M239" s="17"/>
    </row>
    <row r="240" spans="8:15" ht="15" x14ac:dyDescent="0.25">
      <c r="H240" s="17"/>
      <c r="I240" s="530" t="s">
        <v>162</v>
      </c>
      <c r="J240" s="1167"/>
      <c r="K240" s="1168">
        <v>49.821119495630803</v>
      </c>
      <c r="L240" s="1169" t="s">
        <v>46</v>
      </c>
      <c r="M240" s="17"/>
    </row>
    <row r="241" spans="8:16" ht="15" x14ac:dyDescent="0.25">
      <c r="H241" s="17"/>
      <c r="I241" s="229" t="s">
        <v>163</v>
      </c>
      <c r="J241" s="1095"/>
      <c r="K241" s="1170">
        <v>6.4767455344320002</v>
      </c>
      <c r="L241" s="704" t="s">
        <v>46</v>
      </c>
      <c r="M241" s="17"/>
    </row>
    <row r="242" spans="8:16" ht="15" x14ac:dyDescent="0.25">
      <c r="H242" s="17"/>
      <c r="I242" s="229" t="s">
        <v>164</v>
      </c>
      <c r="J242" s="1095"/>
      <c r="K242" s="1170">
        <v>3.1557319172804701</v>
      </c>
      <c r="L242" s="704" t="s">
        <v>48</v>
      </c>
      <c r="M242" s="17"/>
    </row>
    <row r="243" spans="8:16" ht="15" x14ac:dyDescent="0.25">
      <c r="H243" s="17"/>
      <c r="I243" s="317" t="s">
        <v>165</v>
      </c>
      <c r="J243" s="1162"/>
      <c r="K243" s="1171">
        <v>2.6037652303100202E-4</v>
      </c>
      <c r="L243" s="705" t="s">
        <v>48</v>
      </c>
      <c r="M243" s="17"/>
    </row>
    <row r="244" spans="8:16" ht="15" x14ac:dyDescent="0.25">
      <c r="H244" s="17"/>
      <c r="I244" s="321" t="s">
        <v>166</v>
      </c>
      <c r="J244" s="1172"/>
      <c r="K244" s="1173" t="s">
        <v>167</v>
      </c>
      <c r="L244" s="706"/>
      <c r="M244" s="17"/>
    </row>
    <row r="245" spans="8:16" x14ac:dyDescent="0.2">
      <c r="H245" s="17"/>
      <c r="I245" s="17"/>
      <c r="J245" s="17"/>
      <c r="K245" s="17"/>
      <c r="M245" s="17"/>
    </row>
    <row r="246" spans="8:16" x14ac:dyDescent="0.2">
      <c r="H246" s="17"/>
      <c r="I246" s="17"/>
      <c r="J246" s="17"/>
      <c r="K246" s="17"/>
      <c r="M246" s="17"/>
    </row>
    <row r="247" spans="8:16" x14ac:dyDescent="0.2">
      <c r="H247" s="17"/>
      <c r="I247" s="17"/>
      <c r="J247" s="17"/>
      <c r="K247" s="17"/>
      <c r="M247" s="17"/>
    </row>
    <row r="248" spans="8:16" x14ac:dyDescent="0.2">
      <c r="H248" s="17"/>
      <c r="I248" s="17"/>
      <c r="J248" s="17"/>
      <c r="K248" s="17"/>
      <c r="L248" s="17"/>
      <c r="M248" s="17"/>
    </row>
    <row r="249" spans="8:16" x14ac:dyDescent="0.2">
      <c r="H249" s="17"/>
      <c r="I249" s="17"/>
      <c r="J249" s="17"/>
      <c r="K249" s="17"/>
      <c r="L249" s="17"/>
      <c r="M249" s="17"/>
    </row>
    <row r="251" spans="8:16" x14ac:dyDescent="0.2">
      <c r="H251" s="17"/>
      <c r="I251" s="17"/>
      <c r="J251" s="17"/>
      <c r="K251" s="17"/>
      <c r="L251" s="17"/>
      <c r="M251" s="17"/>
      <c r="N251" s="17"/>
      <c r="O251" s="17"/>
      <c r="P251" s="17"/>
    </row>
    <row r="252" spans="8:16" x14ac:dyDescent="0.2">
      <c r="H252" s="17"/>
      <c r="I252" s="17"/>
      <c r="J252" s="17"/>
      <c r="K252" s="17"/>
      <c r="L252" s="17"/>
      <c r="M252" s="17"/>
      <c r="N252" s="17"/>
      <c r="O252" s="17"/>
      <c r="P252" s="17"/>
    </row>
    <row r="253" spans="8:16" ht="14.25" x14ac:dyDescent="0.2">
      <c r="H253" s="17"/>
      <c r="I253" s="39" t="s">
        <v>168</v>
      </c>
      <c r="J253" s="149"/>
      <c r="K253" s="149"/>
      <c r="L253" s="111"/>
      <c r="M253" s="286"/>
      <c r="N253" s="287"/>
      <c r="O253" s="528"/>
      <c r="P253" s="17"/>
    </row>
    <row r="254" spans="8:16" ht="15" x14ac:dyDescent="0.25">
      <c r="H254" s="17"/>
      <c r="I254" s="1174" t="s">
        <v>169</v>
      </c>
      <c r="J254" s="1175"/>
      <c r="K254" s="1176"/>
      <c r="L254" s="691" t="s">
        <v>14</v>
      </c>
      <c r="M254" s="1177" t="s">
        <v>12</v>
      </c>
      <c r="N254" s="1178" t="s">
        <v>13</v>
      </c>
      <c r="O254" s="495"/>
      <c r="P254" s="17"/>
    </row>
    <row r="255" spans="8:16" ht="15" x14ac:dyDescent="0.25">
      <c r="H255" s="17"/>
      <c r="I255" s="371" t="s">
        <v>332</v>
      </c>
      <c r="J255" s="47"/>
      <c r="K255" s="1179"/>
      <c r="L255" s="1180">
        <v>0</v>
      </c>
      <c r="M255" s="1181">
        <v>0</v>
      </c>
      <c r="N255" s="1182">
        <v>0</v>
      </c>
      <c r="O255" s="705" t="s">
        <v>48</v>
      </c>
      <c r="P255" s="17"/>
    </row>
    <row r="256" spans="8:16" ht="15" x14ac:dyDescent="0.25">
      <c r="H256" s="17"/>
      <c r="I256" s="371" t="s">
        <v>171</v>
      </c>
      <c r="J256" s="47"/>
      <c r="K256" s="1179"/>
      <c r="L256" s="1180">
        <v>58.830219536252599</v>
      </c>
      <c r="M256" s="1181">
        <v>79.360269971227396</v>
      </c>
      <c r="N256" s="1182">
        <v>70.042438936937302</v>
      </c>
      <c r="O256" s="705" t="s">
        <v>48</v>
      </c>
      <c r="P256" s="17"/>
    </row>
    <row r="257" spans="8:16" ht="15" x14ac:dyDescent="0.25">
      <c r="H257" s="17"/>
      <c r="I257" s="371" t="s">
        <v>172</v>
      </c>
      <c r="J257" s="48"/>
      <c r="K257" s="1183"/>
      <c r="L257" s="1180">
        <v>4.4807528385431699</v>
      </c>
      <c r="M257" s="1181">
        <v>4.3335505475542204</v>
      </c>
      <c r="N257" s="1182">
        <v>4.2013490024462401</v>
      </c>
      <c r="O257" s="705" t="s">
        <v>48</v>
      </c>
      <c r="P257" s="17"/>
    </row>
    <row r="258" spans="8:16" ht="15" x14ac:dyDescent="0.25">
      <c r="H258" s="17"/>
      <c r="I258" s="371" t="s">
        <v>173</v>
      </c>
      <c r="J258" s="47"/>
      <c r="K258" s="1179"/>
      <c r="L258" s="1180">
        <v>63.310972374795803</v>
      </c>
      <c r="M258" s="1181">
        <v>83.693820518781607</v>
      </c>
      <c r="N258" s="1182">
        <v>74.243787939383495</v>
      </c>
      <c r="O258" s="705" t="s">
        <v>48</v>
      </c>
      <c r="P258" s="17"/>
    </row>
    <row r="259" spans="8:16" ht="15" x14ac:dyDescent="0.25">
      <c r="H259" s="17"/>
      <c r="I259" s="371" t="s">
        <v>174</v>
      </c>
      <c r="J259" s="47"/>
      <c r="K259" s="1155"/>
      <c r="L259" s="1180">
        <v>0</v>
      </c>
      <c r="M259" s="1181">
        <v>0</v>
      </c>
      <c r="N259" s="1182">
        <v>0</v>
      </c>
      <c r="O259" s="705" t="s">
        <v>175</v>
      </c>
      <c r="P259" s="17"/>
    </row>
    <row r="260" spans="8:16" ht="15" x14ac:dyDescent="0.25">
      <c r="H260" s="17"/>
      <c r="I260" s="371" t="s">
        <v>176</v>
      </c>
      <c r="J260" s="47"/>
      <c r="K260" s="1155"/>
      <c r="L260" s="1180">
        <v>0</v>
      </c>
      <c r="M260" s="1181">
        <v>0</v>
      </c>
      <c r="N260" s="1182">
        <v>0</v>
      </c>
      <c r="O260" s="705" t="s">
        <v>175</v>
      </c>
      <c r="P260" s="17"/>
    </row>
    <row r="261" spans="8:16" ht="15" x14ac:dyDescent="0.25">
      <c r="H261" s="17"/>
      <c r="I261" s="321" t="s">
        <v>177</v>
      </c>
      <c r="J261" s="486"/>
      <c r="K261" s="1172"/>
      <c r="L261" s="1184">
        <v>0</v>
      </c>
      <c r="M261" s="1185">
        <v>0</v>
      </c>
      <c r="N261" s="1186">
        <v>0</v>
      </c>
      <c r="O261" s="1116" t="s">
        <v>46</v>
      </c>
      <c r="P261" s="17"/>
    </row>
    <row r="262" spans="8:16" x14ac:dyDescent="0.2">
      <c r="H262" s="17"/>
      <c r="I262" s="17"/>
      <c r="J262" s="17"/>
      <c r="K262" s="17"/>
      <c r="L262" s="17"/>
      <c r="M262" s="17"/>
      <c r="N262" s="17"/>
      <c r="O262" s="17"/>
      <c r="P262" s="17"/>
    </row>
    <row r="263" spans="8:16" x14ac:dyDescent="0.2">
      <c r="H263" s="17"/>
      <c r="I263" s="17"/>
      <c r="J263" s="17"/>
      <c r="K263" s="17"/>
      <c r="L263" s="17"/>
      <c r="M263" s="17"/>
      <c r="N263" s="17"/>
      <c r="O263" s="17"/>
      <c r="P263" s="17"/>
    </row>
    <row r="264" spans="8:16" x14ac:dyDescent="0.2">
      <c r="H264" s="17"/>
      <c r="I264" s="17"/>
      <c r="J264" s="17"/>
      <c r="K264" s="17"/>
      <c r="L264" s="17"/>
      <c r="M264" s="17"/>
      <c r="N264" s="17"/>
      <c r="O264" s="17"/>
      <c r="P264" s="17"/>
    </row>
    <row r="265" spans="8:16" x14ac:dyDescent="0.2">
      <c r="H265" s="17"/>
      <c r="I265" s="17"/>
      <c r="J265" s="17"/>
      <c r="K265" s="17"/>
      <c r="L265" s="17"/>
      <c r="M265" s="17"/>
      <c r="N265" s="17"/>
      <c r="O265" s="17"/>
      <c r="P265" s="17"/>
    </row>
    <row r="266" spans="8:16" x14ac:dyDescent="0.2">
      <c r="H266" s="17"/>
      <c r="I266" s="17"/>
      <c r="J266" s="17"/>
      <c r="K266" s="17"/>
      <c r="L266" s="17"/>
      <c r="M266" s="17"/>
      <c r="N266" s="17"/>
      <c r="O266" s="17"/>
      <c r="P266" s="17"/>
    </row>
    <row r="267" spans="8:16" x14ac:dyDescent="0.2">
      <c r="H267" s="17"/>
      <c r="I267" s="17"/>
      <c r="J267" s="17"/>
      <c r="K267" s="17"/>
      <c r="L267" s="17"/>
      <c r="M267" s="17"/>
      <c r="N267" s="17"/>
      <c r="O267" s="17"/>
      <c r="P267" s="17"/>
    </row>
    <row r="268" spans="8:16" x14ac:dyDescent="0.2">
      <c r="H268" s="17"/>
      <c r="I268" s="17"/>
      <c r="J268" s="17"/>
      <c r="K268" s="17"/>
      <c r="L268" s="17"/>
      <c r="M268" s="17"/>
      <c r="N268" s="17"/>
    </row>
    <row r="269" spans="8:16" x14ac:dyDescent="0.2">
      <c r="H269" s="17"/>
      <c r="I269" s="17"/>
      <c r="J269" s="17"/>
      <c r="K269" s="17"/>
      <c r="L269" s="17"/>
      <c r="M269" s="17"/>
      <c r="N269" s="17"/>
    </row>
    <row r="270" spans="8:16" x14ac:dyDescent="0.2">
      <c r="H270" s="17"/>
      <c r="I270" s="17"/>
      <c r="J270" s="17"/>
      <c r="K270" s="17"/>
      <c r="L270" s="17"/>
      <c r="M270" s="17"/>
      <c r="N270" s="17"/>
    </row>
    <row r="271" spans="8:16" x14ac:dyDescent="0.2">
      <c r="H271" s="17"/>
      <c r="I271" s="17"/>
      <c r="J271" s="17"/>
      <c r="K271" s="17"/>
      <c r="L271" s="17"/>
      <c r="M271" s="17"/>
      <c r="N271" s="17"/>
    </row>
    <row r="272" spans="8:16" x14ac:dyDescent="0.2">
      <c r="H272" s="17"/>
      <c r="I272" s="17"/>
      <c r="J272" s="17"/>
      <c r="K272" s="17"/>
      <c r="L272" s="17"/>
      <c r="M272" s="17"/>
      <c r="N272" s="17"/>
    </row>
    <row r="273" spans="7:15" x14ac:dyDescent="0.2">
      <c r="H273" s="17"/>
      <c r="I273" s="17"/>
      <c r="J273" s="17"/>
      <c r="K273" s="17"/>
      <c r="L273" s="17"/>
      <c r="M273" s="17"/>
      <c r="N273" s="17"/>
    </row>
    <row r="274" spans="7:15" x14ac:dyDescent="0.2">
      <c r="H274" s="17"/>
      <c r="I274" s="17"/>
      <c r="J274" s="17"/>
      <c r="K274" s="17"/>
      <c r="L274" s="17"/>
      <c r="M274" s="17"/>
      <c r="N274" s="17"/>
    </row>
    <row r="275" spans="7:15" x14ac:dyDescent="0.2">
      <c r="H275" s="17"/>
      <c r="I275" s="17"/>
      <c r="J275" s="17"/>
      <c r="K275" s="17"/>
      <c r="L275" s="17"/>
      <c r="M275" s="17"/>
      <c r="N275" s="17"/>
    </row>
    <row r="276" spans="7:15" x14ac:dyDescent="0.2">
      <c r="H276" s="17"/>
      <c r="I276" s="17"/>
      <c r="J276" s="17"/>
      <c r="K276" s="17"/>
      <c r="L276" s="17"/>
      <c r="M276" s="17"/>
      <c r="N276" s="17"/>
    </row>
    <row r="277" spans="7:15" x14ac:dyDescent="0.2">
      <c r="H277" s="17"/>
      <c r="I277" s="17"/>
      <c r="J277" s="17"/>
      <c r="K277" s="17"/>
      <c r="L277" s="17"/>
      <c r="M277" s="17"/>
      <c r="N277" s="17"/>
    </row>
    <row r="278" spans="7:15" x14ac:dyDescent="0.2">
      <c r="H278" s="17"/>
      <c r="I278" s="17"/>
      <c r="J278" s="17"/>
      <c r="K278" s="17"/>
      <c r="L278" s="17"/>
      <c r="M278" s="17"/>
      <c r="N278" s="17"/>
    </row>
    <row r="279" spans="7:15" x14ac:dyDescent="0.2">
      <c r="H279" s="17"/>
      <c r="I279" s="17"/>
      <c r="J279" s="17"/>
      <c r="K279" s="17"/>
      <c r="L279" s="17"/>
      <c r="M279" s="17"/>
      <c r="N279" s="17"/>
    </row>
    <row r="280" spans="7:15" x14ac:dyDescent="0.2">
      <c r="H280" s="17"/>
      <c r="I280" s="17"/>
      <c r="J280" s="17"/>
      <c r="K280" s="17"/>
      <c r="L280" s="17"/>
      <c r="M280" s="17"/>
      <c r="N280" s="17"/>
    </row>
    <row r="281" spans="7:15" x14ac:dyDescent="0.2">
      <c r="H281" s="17"/>
      <c r="I281" s="17"/>
      <c r="J281" s="17"/>
      <c r="K281" s="17"/>
      <c r="L281" s="17"/>
      <c r="M281" s="17"/>
      <c r="N281" s="17"/>
    </row>
    <row r="282" spans="7:15" x14ac:dyDescent="0.2">
      <c r="H282" s="17"/>
      <c r="I282" s="17"/>
      <c r="J282" s="17"/>
      <c r="K282" s="17"/>
      <c r="L282" s="17"/>
      <c r="M282" s="17"/>
      <c r="N282" s="17"/>
    </row>
    <row r="283" spans="7:15" x14ac:dyDescent="0.2">
      <c r="H283" s="17"/>
      <c r="I283" s="17"/>
      <c r="J283" s="17"/>
      <c r="K283" s="17"/>
      <c r="L283" s="17"/>
      <c r="M283" s="17"/>
      <c r="N283" s="17"/>
    </row>
    <row r="284" spans="7:15" x14ac:dyDescent="0.2">
      <c r="H284" s="17"/>
      <c r="I284" s="17"/>
      <c r="J284" s="17"/>
      <c r="K284" s="17"/>
      <c r="L284" s="17"/>
      <c r="M284" s="17"/>
      <c r="N284" s="17"/>
    </row>
    <row r="285" spans="7:15" x14ac:dyDescent="0.2">
      <c r="H285" s="17"/>
      <c r="I285" s="17"/>
      <c r="J285" s="17"/>
      <c r="K285" s="17"/>
      <c r="L285" s="17"/>
      <c r="M285" s="17"/>
      <c r="N285" s="17"/>
    </row>
    <row r="286" spans="7:15" x14ac:dyDescent="0.2">
      <c r="H286" s="17"/>
      <c r="I286" s="17"/>
      <c r="J286" s="17"/>
      <c r="K286" s="17"/>
      <c r="L286" s="17"/>
      <c r="M286" s="17"/>
      <c r="N286" s="17"/>
    </row>
    <row r="287" spans="7:15" x14ac:dyDescent="0.2">
      <c r="G287" s="17"/>
      <c r="H287" s="17"/>
      <c r="I287" s="17"/>
      <c r="J287" s="17"/>
      <c r="K287" s="17"/>
      <c r="L287" s="17"/>
      <c r="M287" s="17"/>
      <c r="N287" s="17"/>
      <c r="O287" s="17"/>
    </row>
    <row r="288" spans="7:15" x14ac:dyDescent="0.2">
      <c r="G288" s="17"/>
      <c r="H288" s="17"/>
      <c r="I288" s="17"/>
      <c r="J288" s="17"/>
      <c r="K288" s="17"/>
      <c r="L288" s="17"/>
      <c r="M288" s="17"/>
      <c r="N288" s="17"/>
      <c r="O288" s="17"/>
    </row>
    <row r="289" spans="7:16" ht="14.25" x14ac:dyDescent="0.2">
      <c r="G289" s="17"/>
      <c r="H289" s="39" t="s">
        <v>178</v>
      </c>
      <c r="I289" s="149"/>
      <c r="J289" s="149"/>
      <c r="K289" s="111"/>
      <c r="L289" s="287"/>
      <c r="M289" s="528"/>
      <c r="N289" s="1187"/>
      <c r="O289" s="17"/>
    </row>
    <row r="290" spans="7:16" ht="15" x14ac:dyDescent="0.25">
      <c r="G290" s="17"/>
      <c r="H290" s="1174" t="s">
        <v>169</v>
      </c>
      <c r="I290" s="1175"/>
      <c r="J290" s="1188"/>
      <c r="K290" s="1189" t="s">
        <v>14</v>
      </c>
      <c r="L290" s="1190" t="s">
        <v>12</v>
      </c>
      <c r="M290" s="1190" t="s">
        <v>13</v>
      </c>
      <c r="N290" s="51"/>
      <c r="O290" s="17"/>
    </row>
    <row r="291" spans="7:16" ht="15" x14ac:dyDescent="0.25">
      <c r="G291" s="17"/>
      <c r="H291" s="371" t="s">
        <v>332</v>
      </c>
      <c r="I291" s="47"/>
      <c r="J291" s="1191"/>
      <c r="K291" s="127">
        <v>0</v>
      </c>
      <c r="L291" s="1182">
        <v>0</v>
      </c>
      <c r="M291" s="1192">
        <v>0</v>
      </c>
      <c r="N291" s="156" t="s">
        <v>48</v>
      </c>
      <c r="O291" s="17"/>
    </row>
    <row r="292" spans="7:16" ht="15" x14ac:dyDescent="0.25">
      <c r="G292" s="17"/>
      <c r="H292" s="371" t="s">
        <v>179</v>
      </c>
      <c r="I292" s="47"/>
      <c r="J292" s="1191"/>
      <c r="K292" s="296">
        <v>81.302542692847396</v>
      </c>
      <c r="L292" s="1193">
        <v>109.64114726367301</v>
      </c>
      <c r="M292" s="296">
        <v>96.778262727725902</v>
      </c>
      <c r="N292" s="320" t="s">
        <v>48</v>
      </c>
      <c r="O292" s="17"/>
    </row>
    <row r="293" spans="7:16" ht="15" x14ac:dyDescent="0.25">
      <c r="G293" s="17"/>
      <c r="H293" s="371" t="s">
        <v>180</v>
      </c>
      <c r="I293" s="48"/>
      <c r="J293" s="1191"/>
      <c r="K293" s="302">
        <v>13.9289779687254</v>
      </c>
      <c r="L293" s="1159">
        <v>13.4713804267698</v>
      </c>
      <c r="M293" s="302">
        <v>13.060414634835499</v>
      </c>
      <c r="N293" s="154" t="s">
        <v>48</v>
      </c>
      <c r="O293" s="17"/>
    </row>
    <row r="294" spans="7:16" ht="15" x14ac:dyDescent="0.25">
      <c r="G294" s="17"/>
      <c r="H294" s="371" t="s">
        <v>181</v>
      </c>
      <c r="I294" s="47"/>
      <c r="J294" s="1191"/>
      <c r="K294" s="302">
        <v>95.231520661572802</v>
      </c>
      <c r="L294" s="1159">
        <v>123.112527690443</v>
      </c>
      <c r="M294" s="302">
        <v>109.838677362561</v>
      </c>
      <c r="N294" s="320" t="s">
        <v>48</v>
      </c>
      <c r="O294" s="17"/>
    </row>
    <row r="295" spans="7:16" ht="15" x14ac:dyDescent="0.25">
      <c r="G295" s="17"/>
      <c r="H295" s="371" t="s">
        <v>182</v>
      </c>
      <c r="I295" s="47"/>
      <c r="J295" s="1191"/>
      <c r="K295" s="1194">
        <v>0</v>
      </c>
      <c r="L295" s="1159">
        <v>0</v>
      </c>
      <c r="M295" s="1194">
        <v>0</v>
      </c>
      <c r="N295" s="154" t="s">
        <v>175</v>
      </c>
      <c r="O295" s="17"/>
    </row>
    <row r="296" spans="7:16" ht="15" x14ac:dyDescent="0.25">
      <c r="G296" s="17"/>
      <c r="H296" s="371" t="s">
        <v>183</v>
      </c>
      <c r="I296" s="47"/>
      <c r="J296" s="1191"/>
      <c r="K296" s="1194">
        <v>0</v>
      </c>
      <c r="L296" s="1159">
        <v>0</v>
      </c>
      <c r="M296" s="1194">
        <v>0</v>
      </c>
      <c r="N296" s="154" t="s">
        <v>175</v>
      </c>
      <c r="O296" s="17"/>
    </row>
    <row r="297" spans="7:16" ht="15" x14ac:dyDescent="0.25">
      <c r="G297" s="17"/>
      <c r="H297" s="237" t="s">
        <v>177</v>
      </c>
      <c r="I297" s="238"/>
      <c r="J297" s="1195"/>
      <c r="K297" s="1196">
        <v>0</v>
      </c>
      <c r="L297" s="1197">
        <v>0</v>
      </c>
      <c r="M297" s="1196">
        <v>0</v>
      </c>
      <c r="N297" s="163" t="s">
        <v>46</v>
      </c>
      <c r="O297" s="17"/>
    </row>
    <row r="298" spans="7:16" x14ac:dyDescent="0.2">
      <c r="G298" s="17"/>
      <c r="H298" s="17"/>
      <c r="I298" s="17"/>
      <c r="J298" s="17"/>
      <c r="K298" s="17"/>
      <c r="L298" s="17"/>
      <c r="M298" s="17"/>
      <c r="N298" s="17"/>
      <c r="O298" s="17"/>
    </row>
    <row r="299" spans="7:16" x14ac:dyDescent="0.2">
      <c r="G299" s="17"/>
      <c r="H299" s="17"/>
      <c r="I299" s="17"/>
      <c r="J299" s="17"/>
      <c r="K299" s="17"/>
      <c r="L299" s="17"/>
      <c r="M299" s="17"/>
      <c r="N299" s="17"/>
      <c r="O299" s="17"/>
    </row>
    <row r="300" spans="7:16" x14ac:dyDescent="0.2">
      <c r="G300" s="17"/>
      <c r="H300" s="17"/>
      <c r="I300" s="17"/>
      <c r="J300" s="17"/>
      <c r="K300" s="17"/>
      <c r="L300" s="17"/>
      <c r="M300" s="17"/>
      <c r="N300" s="17"/>
      <c r="O300" s="17"/>
    </row>
    <row r="301" spans="7:16" x14ac:dyDescent="0.2">
      <c r="G301" s="17"/>
      <c r="H301" s="17"/>
      <c r="I301" s="17"/>
      <c r="J301" s="17"/>
      <c r="K301" s="17"/>
      <c r="L301" s="17"/>
      <c r="M301" s="17"/>
      <c r="N301" s="17"/>
      <c r="O301" s="17"/>
    </row>
    <row r="302" spans="7:16" x14ac:dyDescent="0.2">
      <c r="G302" s="17"/>
      <c r="H302" s="17"/>
      <c r="I302" s="17"/>
      <c r="J302" s="17"/>
      <c r="K302" s="17"/>
      <c r="L302" s="17"/>
      <c r="M302" s="17"/>
      <c r="N302" s="17"/>
      <c r="O302" s="17"/>
    </row>
    <row r="303" spans="7:16" x14ac:dyDescent="0.2">
      <c r="G303" s="17"/>
      <c r="H303" s="17"/>
      <c r="I303" s="17"/>
      <c r="J303" s="17"/>
      <c r="K303" s="17"/>
      <c r="L303" s="17"/>
      <c r="M303" s="17"/>
      <c r="N303" s="17"/>
      <c r="O303" s="17"/>
      <c r="P303" s="17"/>
    </row>
    <row r="304" spans="7:16" x14ac:dyDescent="0.2">
      <c r="G304" s="17"/>
      <c r="H304" s="17"/>
      <c r="I304" s="17"/>
      <c r="J304" s="17"/>
      <c r="K304" s="17"/>
      <c r="L304" s="17"/>
      <c r="M304" s="17"/>
      <c r="N304" s="17"/>
      <c r="O304" s="17"/>
      <c r="P304" s="17"/>
    </row>
    <row r="305" spans="7:16" ht="14.25" x14ac:dyDescent="0.2">
      <c r="G305" s="17"/>
      <c r="H305" s="17"/>
      <c r="I305" s="110" t="s">
        <v>184</v>
      </c>
      <c r="J305" s="369"/>
      <c r="K305" s="369"/>
      <c r="L305" s="369"/>
      <c r="M305" s="287"/>
      <c r="N305" s="287"/>
      <c r="O305" s="1086"/>
      <c r="P305" s="17"/>
    </row>
    <row r="306" spans="7:16" ht="15" x14ac:dyDescent="0.25">
      <c r="G306" s="17"/>
      <c r="H306" s="17"/>
      <c r="I306" s="1198" t="s">
        <v>169</v>
      </c>
      <c r="J306" s="1199"/>
      <c r="K306" s="1200"/>
      <c r="L306" s="1201" t="s">
        <v>14</v>
      </c>
      <c r="M306" s="1202" t="s">
        <v>12</v>
      </c>
      <c r="N306" s="1202" t="s">
        <v>13</v>
      </c>
      <c r="O306" s="51"/>
      <c r="P306" s="17"/>
    </row>
    <row r="307" spans="7:16" ht="15" x14ac:dyDescent="0.25">
      <c r="G307" s="17"/>
      <c r="H307" s="17"/>
      <c r="I307" s="1174" t="s">
        <v>185</v>
      </c>
      <c r="J307" s="1175"/>
      <c r="K307" s="1188"/>
      <c r="L307" s="1203">
        <v>0</v>
      </c>
      <c r="M307" s="1204">
        <v>0</v>
      </c>
      <c r="N307" s="1204">
        <v>0</v>
      </c>
      <c r="O307" s="156" t="s">
        <v>186</v>
      </c>
      <c r="P307" s="17"/>
    </row>
    <row r="308" spans="7:16" ht="15" x14ac:dyDescent="0.25">
      <c r="G308" s="17"/>
      <c r="H308" s="17"/>
      <c r="I308" s="371" t="s">
        <v>187</v>
      </c>
      <c r="J308" s="47"/>
      <c r="K308" s="314"/>
      <c r="L308" s="1205">
        <v>17.297874429000501</v>
      </c>
      <c r="M308" s="377">
        <v>17.297874429000501</v>
      </c>
      <c r="N308" s="377">
        <v>17.297874429000501</v>
      </c>
      <c r="O308" s="154" t="s">
        <v>186</v>
      </c>
      <c r="P308" s="17"/>
    </row>
    <row r="309" spans="7:16" ht="15" x14ac:dyDescent="0.25">
      <c r="G309" s="17"/>
      <c r="H309" s="17"/>
      <c r="I309" s="371" t="s">
        <v>188</v>
      </c>
      <c r="J309" s="47"/>
      <c r="K309" s="314"/>
      <c r="L309" s="377">
        <v>0</v>
      </c>
      <c r="M309" s="377">
        <v>0</v>
      </c>
      <c r="N309" s="377">
        <v>0</v>
      </c>
      <c r="O309" s="320" t="s">
        <v>46</v>
      </c>
      <c r="P309" s="17"/>
    </row>
    <row r="310" spans="7:16" ht="15" x14ac:dyDescent="0.25">
      <c r="G310" s="17"/>
      <c r="H310" s="17"/>
      <c r="I310" s="321" t="s">
        <v>189</v>
      </c>
      <c r="J310" s="486"/>
      <c r="K310" s="1206"/>
      <c r="L310" s="1186">
        <v>0</v>
      </c>
      <c r="M310" s="1186">
        <v>0</v>
      </c>
      <c r="N310" s="1207" t="e">
        <f>1/N309</f>
        <v>#DIV/0!</v>
      </c>
      <c r="O310" s="379" t="s">
        <v>46</v>
      </c>
      <c r="P310" s="17"/>
    </row>
    <row r="311" spans="7:16" x14ac:dyDescent="0.2">
      <c r="G311" s="17"/>
      <c r="H311" s="17"/>
      <c r="I311" s="17"/>
      <c r="J311" s="17"/>
      <c r="K311" s="17"/>
      <c r="L311" s="17"/>
      <c r="M311" s="17"/>
      <c r="N311" s="17"/>
      <c r="O311" s="17"/>
      <c r="P311" s="17"/>
    </row>
    <row r="312" spans="7:16" x14ac:dyDescent="0.2">
      <c r="G312" s="17"/>
      <c r="H312" s="17"/>
      <c r="I312" s="17"/>
      <c r="J312" s="17"/>
      <c r="K312" s="17"/>
      <c r="L312" s="17"/>
      <c r="M312" s="17"/>
      <c r="N312" s="17"/>
      <c r="O312" s="17"/>
      <c r="P312" s="17"/>
    </row>
    <row r="313" spans="7:16" x14ac:dyDescent="0.2">
      <c r="G313" s="17"/>
      <c r="H313" s="17"/>
      <c r="I313" s="17"/>
      <c r="J313" s="17"/>
      <c r="K313" s="17"/>
      <c r="L313" s="17"/>
      <c r="M313" s="17"/>
      <c r="N313" s="17"/>
      <c r="O313" s="17"/>
      <c r="P313" s="17"/>
    </row>
    <row r="314" spans="7:16" x14ac:dyDescent="0.2">
      <c r="G314" s="17"/>
      <c r="H314" s="17"/>
      <c r="I314" s="17"/>
      <c r="J314" s="17"/>
      <c r="K314" s="17"/>
      <c r="L314" s="17"/>
      <c r="M314" s="17"/>
      <c r="N314" s="17"/>
      <c r="O314" s="17"/>
      <c r="P314" s="17"/>
    </row>
    <row r="315" spans="7:16" x14ac:dyDescent="0.2">
      <c r="G315" s="17"/>
      <c r="H315" s="17"/>
      <c r="I315" s="17"/>
      <c r="J315" s="17"/>
      <c r="K315" s="17"/>
      <c r="L315" s="17"/>
      <c r="M315" s="17"/>
      <c r="N315" s="17"/>
      <c r="O315" s="17"/>
      <c r="P315" s="17"/>
    </row>
    <row r="316" spans="7:16" x14ac:dyDescent="0.2">
      <c r="G316" s="17"/>
      <c r="H316" s="17"/>
      <c r="I316" s="17"/>
      <c r="J316" s="17"/>
      <c r="K316" s="17"/>
      <c r="L316" s="17"/>
      <c r="M316" s="17"/>
      <c r="N316" s="17"/>
      <c r="O316" s="17"/>
      <c r="P316" s="17"/>
    </row>
    <row r="317" spans="7:16" x14ac:dyDescent="0.2">
      <c r="H317" s="17"/>
      <c r="I317" s="17"/>
      <c r="J317" s="17"/>
      <c r="K317" s="17"/>
      <c r="L317" s="17"/>
      <c r="M317" s="17"/>
    </row>
    <row r="318" spans="7:16" x14ac:dyDescent="0.2">
      <c r="H318" s="17"/>
      <c r="I318" s="17"/>
      <c r="J318" s="17"/>
      <c r="K318" s="17"/>
      <c r="L318" s="17"/>
      <c r="M318" s="17"/>
    </row>
    <row r="319" spans="7:16" x14ac:dyDescent="0.2">
      <c r="H319" s="17"/>
      <c r="I319" s="17"/>
      <c r="J319" s="17"/>
      <c r="K319" s="17"/>
      <c r="L319" s="17"/>
      <c r="M319" s="17"/>
    </row>
    <row r="320" spans="7:16" x14ac:dyDescent="0.2">
      <c r="H320" s="17"/>
      <c r="I320" s="17"/>
      <c r="J320" s="17"/>
      <c r="K320" s="17"/>
      <c r="L320" s="17"/>
      <c r="M320" s="17"/>
    </row>
    <row r="321" spans="8:13" x14ac:dyDescent="0.2">
      <c r="H321" s="17"/>
      <c r="I321" s="17"/>
      <c r="J321" s="17"/>
      <c r="K321" s="17"/>
      <c r="L321" s="17"/>
      <c r="M321" s="17"/>
    </row>
    <row r="322" spans="8:13" x14ac:dyDescent="0.2">
      <c r="H322" s="17"/>
      <c r="I322" s="17"/>
      <c r="J322" s="17"/>
      <c r="K322" s="17"/>
      <c r="L322" s="17"/>
      <c r="M322" s="17"/>
    </row>
    <row r="323" spans="8:13" x14ac:dyDescent="0.2">
      <c r="H323" s="17"/>
      <c r="I323" s="17"/>
      <c r="J323" s="17"/>
      <c r="K323" s="17"/>
      <c r="L323" s="17"/>
      <c r="M323" s="17"/>
    </row>
    <row r="324" spans="8:13" x14ac:dyDescent="0.2">
      <c r="H324" s="17"/>
      <c r="I324" s="17"/>
      <c r="J324" s="17"/>
      <c r="K324" s="17"/>
      <c r="L324" s="17"/>
      <c r="M324" s="17"/>
    </row>
    <row r="325" spans="8:13" x14ac:dyDescent="0.2">
      <c r="H325" s="17"/>
      <c r="I325" s="17"/>
      <c r="J325" s="17"/>
      <c r="K325" s="17"/>
      <c r="L325" s="17"/>
      <c r="M325" s="17"/>
    </row>
    <row r="326" spans="8:13" x14ac:dyDescent="0.2">
      <c r="H326" s="17"/>
      <c r="I326" s="17"/>
      <c r="J326" s="17"/>
      <c r="K326" s="17"/>
      <c r="L326" s="17"/>
      <c r="M326" s="17"/>
    </row>
    <row r="327" spans="8:13" x14ac:dyDescent="0.2">
      <c r="H327" s="17"/>
      <c r="I327" s="17"/>
      <c r="J327" s="17"/>
      <c r="K327" s="17"/>
      <c r="L327" s="17"/>
      <c r="M327" s="17"/>
    </row>
    <row r="328" spans="8:13" x14ac:dyDescent="0.2">
      <c r="H328" s="17"/>
      <c r="I328" s="17"/>
      <c r="J328" s="17"/>
      <c r="K328" s="17"/>
      <c r="L328" s="17"/>
      <c r="M328" s="17"/>
    </row>
    <row r="329" spans="8:13" x14ac:dyDescent="0.2">
      <c r="H329" s="17"/>
      <c r="I329" s="17"/>
      <c r="J329" s="17"/>
      <c r="K329" s="17"/>
      <c r="L329" s="17"/>
      <c r="M329" s="17"/>
    </row>
    <row r="330" spans="8:13" x14ac:dyDescent="0.2">
      <c r="H330" s="17"/>
      <c r="I330" s="17"/>
      <c r="J330" s="17"/>
      <c r="K330" s="17"/>
      <c r="L330" s="17"/>
      <c r="M330" s="17"/>
    </row>
    <row r="331" spans="8:13" x14ac:dyDescent="0.2">
      <c r="H331" s="17"/>
      <c r="I331" s="17"/>
      <c r="J331" s="17"/>
      <c r="K331" s="17"/>
      <c r="L331" s="17"/>
      <c r="M331" s="17"/>
    </row>
    <row r="332" spans="8:13" x14ac:dyDescent="0.2">
      <c r="H332" s="17"/>
      <c r="I332" s="17"/>
      <c r="J332" s="17"/>
      <c r="K332" s="17"/>
      <c r="L332" s="17"/>
      <c r="M332" s="17"/>
    </row>
    <row r="333" spans="8:13" x14ac:dyDescent="0.2">
      <c r="H333" s="17"/>
      <c r="I333" s="17"/>
      <c r="J333" s="17"/>
      <c r="K333" s="17"/>
      <c r="L333" s="17"/>
      <c r="M333" s="17"/>
    </row>
    <row r="334" spans="8:13" x14ac:dyDescent="0.2">
      <c r="H334" s="17"/>
      <c r="I334" s="17"/>
      <c r="J334" s="17"/>
      <c r="K334" s="17"/>
      <c r="L334" s="17"/>
      <c r="M334" s="17"/>
    </row>
    <row r="335" spans="8:13" x14ac:dyDescent="0.2">
      <c r="H335" s="17"/>
      <c r="I335" s="17"/>
      <c r="J335" s="17"/>
      <c r="K335" s="17"/>
      <c r="L335" s="17"/>
      <c r="M335" s="17"/>
    </row>
    <row r="336" spans="8:13" x14ac:dyDescent="0.2">
      <c r="H336" s="17"/>
      <c r="I336" s="17"/>
      <c r="J336" s="17"/>
      <c r="K336" s="17"/>
      <c r="L336" s="17"/>
      <c r="M336" s="17"/>
    </row>
    <row r="337" spans="8:13" x14ac:dyDescent="0.2">
      <c r="H337" s="17"/>
      <c r="I337" s="17"/>
      <c r="J337" s="17"/>
      <c r="K337" s="17"/>
      <c r="L337" s="17"/>
      <c r="M337" s="17"/>
    </row>
    <row r="338" spans="8:13" x14ac:dyDescent="0.2">
      <c r="H338" s="17"/>
      <c r="I338" s="17"/>
      <c r="J338" s="17"/>
      <c r="K338" s="17"/>
      <c r="L338" s="17"/>
      <c r="M338" s="17"/>
    </row>
    <row r="339" spans="8:13" x14ac:dyDescent="0.2">
      <c r="H339" s="17"/>
      <c r="I339" s="17"/>
      <c r="J339" s="17"/>
      <c r="K339" s="17"/>
      <c r="L339" s="17"/>
      <c r="M339" s="17"/>
    </row>
    <row r="340" spans="8:13" x14ac:dyDescent="0.2">
      <c r="H340" s="17"/>
      <c r="I340" s="17"/>
      <c r="J340" s="17"/>
      <c r="K340" s="17"/>
      <c r="L340" s="17"/>
      <c r="M340" s="17"/>
    </row>
    <row r="341" spans="8:13" x14ac:dyDescent="0.2">
      <c r="H341" s="17"/>
      <c r="I341" s="17"/>
      <c r="J341" s="17"/>
      <c r="K341" s="17"/>
      <c r="L341" s="17"/>
      <c r="M341" s="17"/>
    </row>
    <row r="342" spans="8:13" x14ac:dyDescent="0.2">
      <c r="H342" s="17"/>
      <c r="I342" s="17"/>
      <c r="J342" s="17"/>
      <c r="K342" s="17"/>
      <c r="L342" s="17"/>
      <c r="M342" s="17"/>
    </row>
    <row r="343" spans="8:13" x14ac:dyDescent="0.2">
      <c r="H343" s="17"/>
      <c r="I343" s="17"/>
      <c r="J343" s="17"/>
      <c r="K343" s="17"/>
      <c r="L343" s="17"/>
      <c r="M343" s="17"/>
    </row>
    <row r="344" spans="8:13" x14ac:dyDescent="0.2">
      <c r="H344" s="17"/>
      <c r="I344" s="17"/>
      <c r="J344" s="17"/>
      <c r="K344" s="17"/>
      <c r="L344" s="17"/>
      <c r="M344" s="17"/>
    </row>
    <row r="345" spans="8:13" x14ac:dyDescent="0.2">
      <c r="H345" s="17"/>
      <c r="I345" s="17"/>
      <c r="J345" s="17"/>
      <c r="K345" s="17"/>
      <c r="L345" s="17"/>
      <c r="M345" s="17"/>
    </row>
    <row r="346" spans="8:13" x14ac:dyDescent="0.2">
      <c r="H346" s="17"/>
      <c r="I346" s="17"/>
      <c r="J346" s="17"/>
      <c r="K346" s="17"/>
      <c r="L346" s="17"/>
      <c r="M346" s="17"/>
    </row>
    <row r="347" spans="8:13" x14ac:dyDescent="0.2">
      <c r="H347" s="17"/>
      <c r="I347" s="17"/>
      <c r="J347" s="17"/>
      <c r="K347" s="17"/>
      <c r="L347" s="17"/>
      <c r="M347" s="17"/>
    </row>
    <row r="348" spans="8:13" x14ac:dyDescent="0.2">
      <c r="H348" s="17"/>
      <c r="I348" s="17"/>
      <c r="J348" s="17"/>
      <c r="K348" s="17"/>
      <c r="L348" s="17"/>
      <c r="M348" s="17"/>
    </row>
    <row r="349" spans="8:13" x14ac:dyDescent="0.2">
      <c r="H349" s="17"/>
      <c r="I349" s="17"/>
      <c r="J349" s="17"/>
      <c r="K349" s="17"/>
      <c r="L349" s="17"/>
      <c r="M349" s="17"/>
    </row>
    <row r="350" spans="8:13" x14ac:dyDescent="0.2">
      <c r="H350" s="17"/>
      <c r="I350" s="17"/>
      <c r="J350" s="17"/>
      <c r="K350" s="17"/>
      <c r="L350" s="17"/>
      <c r="M350" s="17"/>
    </row>
    <row r="351" spans="8:13" x14ac:dyDescent="0.2">
      <c r="H351" s="17"/>
      <c r="I351" s="17"/>
      <c r="J351" s="17"/>
      <c r="K351" s="17"/>
      <c r="L351" s="17"/>
      <c r="M351" s="17"/>
    </row>
    <row r="352" spans="8:13" x14ac:dyDescent="0.2">
      <c r="H352" s="17"/>
      <c r="I352" s="17"/>
      <c r="J352" s="17"/>
      <c r="K352" s="17"/>
      <c r="L352" s="17"/>
      <c r="M352" s="17"/>
    </row>
    <row r="353" spans="7:15" x14ac:dyDescent="0.2">
      <c r="H353" s="17"/>
      <c r="I353" s="17"/>
      <c r="J353" s="17"/>
      <c r="K353" s="17"/>
      <c r="L353" s="17"/>
      <c r="M353" s="17"/>
    </row>
    <row r="354" spans="7:15" x14ac:dyDescent="0.2">
      <c r="H354" s="17"/>
      <c r="I354" s="17"/>
      <c r="J354" s="17"/>
      <c r="K354" s="17"/>
      <c r="L354" s="17"/>
      <c r="M354" s="17"/>
    </row>
    <row r="355" spans="7:15" x14ac:dyDescent="0.2">
      <c r="H355" s="17"/>
      <c r="I355" s="17"/>
      <c r="J355" s="17"/>
      <c r="K355" s="17"/>
      <c r="L355" s="17"/>
      <c r="M355" s="17"/>
    </row>
    <row r="356" spans="7:15" x14ac:dyDescent="0.2">
      <c r="H356" s="17"/>
      <c r="I356" s="17"/>
      <c r="J356" s="17"/>
      <c r="K356" s="17"/>
      <c r="L356" s="17"/>
      <c r="M356" s="17"/>
    </row>
    <row r="357" spans="7:15" x14ac:dyDescent="0.2">
      <c r="H357" s="17"/>
      <c r="I357" s="17"/>
      <c r="J357" s="17"/>
      <c r="K357" s="17"/>
      <c r="L357" s="17"/>
      <c r="M357" s="17"/>
    </row>
    <row r="358" spans="7:15" x14ac:dyDescent="0.2">
      <c r="G358" s="17"/>
      <c r="H358" s="17"/>
      <c r="I358" s="17"/>
      <c r="J358" s="17"/>
      <c r="K358" s="17"/>
      <c r="L358" s="17"/>
      <c r="M358" s="17"/>
      <c r="N358" s="17"/>
      <c r="O358" s="17"/>
    </row>
    <row r="359" spans="7:15" x14ac:dyDescent="0.2">
      <c r="G359" s="17"/>
      <c r="H359" s="17"/>
      <c r="I359" s="17"/>
      <c r="J359" s="17"/>
      <c r="K359" s="17"/>
      <c r="L359" s="17"/>
      <c r="M359" s="17"/>
      <c r="N359" s="17"/>
      <c r="O359" s="17"/>
    </row>
    <row r="360" spans="7:15" x14ac:dyDescent="0.2">
      <c r="G360" s="17"/>
      <c r="H360" s="17"/>
      <c r="I360" s="17"/>
      <c r="J360" s="17"/>
      <c r="K360" s="17"/>
      <c r="L360" s="17"/>
      <c r="M360" s="17"/>
      <c r="N360" s="17"/>
      <c r="O360" s="17"/>
    </row>
    <row r="361" spans="7:15" x14ac:dyDescent="0.2">
      <c r="G361" s="17"/>
      <c r="H361" s="17"/>
      <c r="I361" s="17"/>
      <c r="J361" s="17"/>
      <c r="K361" s="17"/>
      <c r="L361" s="17"/>
      <c r="M361" s="17"/>
      <c r="N361" s="17"/>
      <c r="O361" s="17"/>
    </row>
    <row r="362" spans="7:15" x14ac:dyDescent="0.2">
      <c r="G362" s="17"/>
      <c r="H362" s="17"/>
      <c r="I362" s="17"/>
      <c r="J362" s="17"/>
      <c r="K362" s="17"/>
      <c r="L362" s="17"/>
      <c r="M362" s="17"/>
      <c r="N362" s="17"/>
      <c r="O362" s="17"/>
    </row>
    <row r="363" spans="7:15" x14ac:dyDescent="0.2">
      <c r="G363" s="17"/>
      <c r="H363" s="17"/>
      <c r="I363" s="17"/>
      <c r="J363" s="17"/>
      <c r="K363" s="17"/>
      <c r="L363" s="17"/>
      <c r="M363" s="17"/>
      <c r="N363" s="17"/>
      <c r="O363" s="17"/>
    </row>
    <row r="364" spans="7:15" x14ac:dyDescent="0.2">
      <c r="G364" s="17"/>
      <c r="H364" s="17"/>
      <c r="I364" s="17"/>
      <c r="J364" s="17"/>
      <c r="K364" s="17"/>
      <c r="L364" s="17"/>
      <c r="M364" s="17"/>
      <c r="N364" s="17"/>
      <c r="O364" s="17"/>
    </row>
    <row r="365" spans="7:15" x14ac:dyDescent="0.2">
      <c r="G365" s="17"/>
      <c r="H365" s="17"/>
      <c r="I365" s="17"/>
      <c r="J365" s="17"/>
      <c r="K365" s="17"/>
      <c r="L365" s="17"/>
      <c r="M365" s="17"/>
      <c r="N365" s="17"/>
      <c r="O365" s="17"/>
    </row>
    <row r="366" spans="7:15" x14ac:dyDescent="0.2">
      <c r="G366" s="17"/>
      <c r="H366" s="17"/>
      <c r="I366" s="17"/>
      <c r="J366" s="17"/>
      <c r="K366" s="17"/>
      <c r="L366" s="17"/>
      <c r="M366" s="17"/>
      <c r="N366" s="17"/>
      <c r="O366" s="17"/>
    </row>
    <row r="367" spans="7:15" x14ac:dyDescent="0.2">
      <c r="G367" s="17"/>
      <c r="H367" s="17"/>
      <c r="I367" s="17"/>
      <c r="J367" s="17"/>
      <c r="K367" s="17"/>
      <c r="L367" s="17"/>
      <c r="M367" s="17"/>
      <c r="N367" s="17"/>
      <c r="O367" s="17"/>
    </row>
    <row r="368" spans="7:15" x14ac:dyDescent="0.2">
      <c r="G368" s="17"/>
      <c r="H368" s="17"/>
      <c r="I368" s="17"/>
      <c r="J368" s="17"/>
      <c r="K368" s="17"/>
      <c r="L368" s="17"/>
      <c r="M368" s="17"/>
      <c r="N368" s="17"/>
      <c r="O368" s="17"/>
    </row>
    <row r="369" spans="7:15" x14ac:dyDescent="0.2">
      <c r="G369" s="17"/>
      <c r="H369" s="17"/>
      <c r="I369" s="17"/>
      <c r="J369" s="17"/>
      <c r="K369" s="17"/>
      <c r="L369" s="17"/>
      <c r="M369" s="17"/>
      <c r="N369" s="17"/>
      <c r="O369" s="17"/>
    </row>
    <row r="370" spans="7:15" x14ac:dyDescent="0.2">
      <c r="G370" s="17"/>
      <c r="H370" s="17"/>
      <c r="I370" s="17"/>
      <c r="J370" s="17"/>
      <c r="K370" s="17"/>
      <c r="L370" s="17"/>
      <c r="M370" s="17"/>
      <c r="N370" s="17"/>
      <c r="O370" s="17"/>
    </row>
    <row r="371" spans="7:15" x14ac:dyDescent="0.2">
      <c r="G371" s="17"/>
      <c r="H371" s="17"/>
      <c r="I371" s="17"/>
      <c r="J371" s="17"/>
      <c r="K371" s="17"/>
      <c r="L371" s="17"/>
      <c r="M371" s="17"/>
      <c r="N371" s="17"/>
      <c r="O371" s="17"/>
    </row>
    <row r="372" spans="7:15" x14ac:dyDescent="0.2">
      <c r="G372" s="17"/>
      <c r="H372" s="17"/>
      <c r="I372" s="17"/>
      <c r="J372" s="17"/>
      <c r="K372" s="17"/>
      <c r="L372" s="17"/>
      <c r="M372" s="17"/>
      <c r="N372" s="17"/>
      <c r="O372" s="17"/>
    </row>
    <row r="373" spans="7:15" x14ac:dyDescent="0.2">
      <c r="G373" s="17"/>
      <c r="H373" s="17"/>
      <c r="I373" s="17"/>
      <c r="J373" s="17"/>
      <c r="K373" s="17"/>
      <c r="L373" s="17"/>
      <c r="M373" s="17"/>
      <c r="N373" s="17"/>
      <c r="O373" s="17"/>
    </row>
    <row r="374" spans="7:15" x14ac:dyDescent="0.2">
      <c r="G374" s="17"/>
      <c r="H374" s="17"/>
      <c r="I374" s="17"/>
      <c r="J374" s="17"/>
      <c r="K374" s="17"/>
      <c r="L374" s="17"/>
      <c r="M374" s="17"/>
      <c r="N374" s="17"/>
      <c r="O374" s="17"/>
    </row>
    <row r="375" spans="7:15" x14ac:dyDescent="0.2">
      <c r="G375" s="17"/>
      <c r="H375" s="17"/>
      <c r="I375" s="17"/>
      <c r="J375" s="17"/>
      <c r="K375" s="17"/>
      <c r="L375" s="17"/>
      <c r="M375" s="17"/>
      <c r="N375" s="17"/>
      <c r="O375" s="17"/>
    </row>
    <row r="376" spans="7:15" x14ac:dyDescent="0.2">
      <c r="G376" s="17"/>
      <c r="H376" s="17"/>
      <c r="I376" s="17"/>
      <c r="J376" s="17"/>
      <c r="K376" s="17"/>
      <c r="L376" s="17"/>
      <c r="M376" s="17"/>
      <c r="N376" s="17"/>
      <c r="O376" s="17"/>
    </row>
    <row r="377" spans="7:15" x14ac:dyDescent="0.2">
      <c r="G377" s="17"/>
      <c r="H377" s="17"/>
      <c r="I377" s="17"/>
      <c r="J377" s="17"/>
      <c r="K377" s="17"/>
      <c r="L377" s="17"/>
      <c r="M377" s="17"/>
      <c r="N377" s="17"/>
      <c r="O377" s="17"/>
    </row>
    <row r="378" spans="7:15" x14ac:dyDescent="0.2">
      <c r="G378" s="17"/>
      <c r="H378" s="17"/>
      <c r="I378" s="17"/>
      <c r="J378" s="17"/>
      <c r="K378" s="17"/>
      <c r="L378" s="17"/>
      <c r="M378" s="17"/>
      <c r="N378" s="17"/>
      <c r="O378" s="17"/>
    </row>
    <row r="379" spans="7:15" x14ac:dyDescent="0.2">
      <c r="G379" s="17"/>
      <c r="H379" s="17"/>
      <c r="I379" s="17"/>
      <c r="J379" s="17"/>
      <c r="K379" s="17"/>
      <c r="L379" s="17"/>
      <c r="M379" s="17"/>
      <c r="N379" s="17"/>
      <c r="O379" s="17"/>
    </row>
    <row r="380" spans="7:15" x14ac:dyDescent="0.2">
      <c r="G380" s="17"/>
      <c r="H380" s="17"/>
      <c r="I380" s="17"/>
      <c r="J380" s="17"/>
      <c r="K380" s="17"/>
      <c r="L380" s="17"/>
      <c r="M380" s="17"/>
      <c r="N380" s="17"/>
      <c r="O380" s="17"/>
    </row>
    <row r="381" spans="7:15" x14ac:dyDescent="0.2">
      <c r="G381" s="17"/>
      <c r="H381" s="17"/>
      <c r="I381" s="17"/>
      <c r="J381" s="17"/>
      <c r="K381" s="17"/>
      <c r="L381" s="17"/>
      <c r="M381" s="17"/>
      <c r="N381" s="17"/>
      <c r="O381" s="17"/>
    </row>
    <row r="382" spans="7:15" x14ac:dyDescent="0.2">
      <c r="G382" s="17"/>
      <c r="H382" s="17"/>
      <c r="I382" s="17"/>
      <c r="J382" s="17"/>
      <c r="K382" s="17"/>
      <c r="L382" s="17"/>
      <c r="M382" s="17"/>
      <c r="N382" s="17"/>
      <c r="O382" s="17"/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99" r:id="rId3" name="Button 1100">
              <controlPr defaultSize="0" autoPict="0" macro="Module5.Macro6">
                <anchor moveWithCells="1" sizeWithCells="1">
                  <from>
                    <xdr:col>2</xdr:col>
                    <xdr:colOff>200025</xdr:colOff>
                    <xdr:row>7</xdr:row>
                    <xdr:rowOff>38100</xdr:rowOff>
                  </from>
                  <to>
                    <xdr:col>3</xdr:col>
                    <xdr:colOff>276225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8" r:id="rId4" name="Button 1075">
              <controlPr defaultSize="0" autoPict="0" macro="Module5.Macro6">
                <anchor moveWithCells="1" sizeWithCells="1">
                  <from>
                    <xdr:col>10</xdr:col>
                    <xdr:colOff>209550</xdr:colOff>
                    <xdr:row>22</xdr:row>
                    <xdr:rowOff>152400</xdr:rowOff>
                  </from>
                  <to>
                    <xdr:col>11</xdr:col>
                    <xdr:colOff>723900</xdr:colOff>
                    <xdr:row>25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7" r:id="rId5" name="Button 1101">
              <controlPr defaultSize="0" autoPict="0" macro="Module5.Macro6">
                <anchor moveWithCells="1" sizeWithCells="1">
                  <from>
                    <xdr:col>3</xdr:col>
                    <xdr:colOff>95250</xdr:colOff>
                    <xdr:row>19</xdr:row>
                    <xdr:rowOff>123825</xdr:rowOff>
                  </from>
                  <to>
                    <xdr:col>4</xdr:col>
                    <xdr:colOff>438150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6" r:id="rId6" name="Button 1104">
              <controlPr defaultSize="0" autoPict="0" macro="Module5.Macro6">
                <anchor moveWithCells="1" sizeWithCells="1">
                  <from>
                    <xdr:col>2</xdr:col>
                    <xdr:colOff>180975</xdr:colOff>
                    <xdr:row>36</xdr:row>
                    <xdr:rowOff>38100</xdr:rowOff>
                  </from>
                  <to>
                    <xdr:col>3</xdr:col>
                    <xdr:colOff>257175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5" r:id="rId7" name="Button 1105">
              <controlPr defaultSize="0" autoPict="0" macro="Module5.Macro6">
                <anchor moveWithCells="1" sizeWithCells="1">
                  <from>
                    <xdr:col>3</xdr:col>
                    <xdr:colOff>161925</xdr:colOff>
                    <xdr:row>56</xdr:row>
                    <xdr:rowOff>104775</xdr:rowOff>
                  </from>
                  <to>
                    <xdr:col>4</xdr:col>
                    <xdr:colOff>238125</xdr:colOff>
                    <xdr:row>59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4" r:id="rId8" name="Button 1106">
              <controlPr defaultSize="0" autoPict="0" macro="Module5.Macro6">
                <anchor moveWithCells="1" sizeWithCells="1">
                  <from>
                    <xdr:col>2</xdr:col>
                    <xdr:colOff>200025</xdr:colOff>
                    <xdr:row>68</xdr:row>
                    <xdr:rowOff>38100</xdr:rowOff>
                  </from>
                  <to>
                    <xdr:col>3</xdr:col>
                    <xdr:colOff>276225</xdr:colOff>
                    <xdr:row>71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3" r:id="rId9" name="Button 1107">
              <controlPr defaultSize="0" autoPict="0" macro="Module5.Macro6">
                <anchor moveWithCells="1" sizeWithCells="1">
                  <from>
                    <xdr:col>2</xdr:col>
                    <xdr:colOff>676275</xdr:colOff>
                    <xdr:row>78</xdr:row>
                    <xdr:rowOff>161925</xdr:rowOff>
                  </from>
                  <to>
                    <xdr:col>3</xdr:col>
                    <xdr:colOff>571500</xdr:colOff>
                    <xdr:row>81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2" r:id="rId10" name="Button 1108">
              <controlPr defaultSize="0" autoPict="0" macro="Module5.Macro6">
                <anchor moveWithCells="1" sizeWithCells="1">
                  <from>
                    <xdr:col>2</xdr:col>
                    <xdr:colOff>190500</xdr:colOff>
                    <xdr:row>97</xdr:row>
                    <xdr:rowOff>95250</xdr:rowOff>
                  </from>
                  <to>
                    <xdr:col>3</xdr:col>
                    <xdr:colOff>276225</xdr:colOff>
                    <xdr:row>100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1" r:id="rId11" name="Button 1109">
              <controlPr defaultSize="0" autoPict="0" macro="Module5.Macro6">
                <anchor moveWithCells="1" sizeWithCells="1">
                  <from>
                    <xdr:col>2</xdr:col>
                    <xdr:colOff>381000</xdr:colOff>
                    <xdr:row>108</xdr:row>
                    <xdr:rowOff>133350</xdr:rowOff>
                  </from>
                  <to>
                    <xdr:col>3</xdr:col>
                    <xdr:colOff>400050</xdr:colOff>
                    <xdr:row>111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0" r:id="rId12" name="Button 1081">
              <controlPr defaultSize="0" autoPict="0" macro="Module5.Macro6">
                <anchor moveWithCells="1" sizeWithCells="1">
                  <from>
                    <xdr:col>13</xdr:col>
                    <xdr:colOff>0</xdr:colOff>
                    <xdr:row>52</xdr:row>
                    <xdr:rowOff>114300</xdr:rowOff>
                  </from>
                  <to>
                    <xdr:col>14</xdr:col>
                    <xdr:colOff>247650</xdr:colOff>
                    <xdr:row>54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9" r:id="rId13" name="Button 1084">
              <controlPr defaultSize="0" autoPict="0" macro="Module5.Macro6">
                <anchor moveWithCells="1" sizeWithCells="1">
                  <from>
                    <xdr:col>12</xdr:col>
                    <xdr:colOff>647700</xdr:colOff>
                    <xdr:row>79</xdr:row>
                    <xdr:rowOff>57150</xdr:rowOff>
                  </from>
                  <to>
                    <xdr:col>14</xdr:col>
                    <xdr:colOff>400050</xdr:colOff>
                    <xdr:row>81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8" r:id="rId14" name="Button 1110">
              <controlPr defaultSize="0" autoPict="0" macro="Module5.Macro6">
                <anchor moveWithCells="1" sizeWithCells="1">
                  <from>
                    <xdr:col>2</xdr:col>
                    <xdr:colOff>352425</xdr:colOff>
                    <xdr:row>123</xdr:row>
                    <xdr:rowOff>123825</xdr:rowOff>
                  </from>
                  <to>
                    <xdr:col>3</xdr:col>
                    <xdr:colOff>428625</xdr:colOff>
                    <xdr:row>126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7" r:id="rId15" name="Button 1111">
              <controlPr defaultSize="0" autoPict="0" macro="Module5.Macro6">
                <anchor moveWithCells="1" sizeWithCells="1">
                  <from>
                    <xdr:col>2</xdr:col>
                    <xdr:colOff>171450</xdr:colOff>
                    <xdr:row>139</xdr:row>
                    <xdr:rowOff>171450</xdr:rowOff>
                  </from>
                  <to>
                    <xdr:col>3</xdr:col>
                    <xdr:colOff>257175</xdr:colOff>
                    <xdr:row>142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6" r:id="rId16" name="Button 1117">
              <controlPr defaultSize="0" autoPict="0" macro="Module5.Macro6">
                <anchor moveWithCells="1" sizeWithCells="1">
                  <from>
                    <xdr:col>12</xdr:col>
                    <xdr:colOff>371475</xdr:colOff>
                    <xdr:row>106</xdr:row>
                    <xdr:rowOff>209550</xdr:rowOff>
                  </from>
                  <to>
                    <xdr:col>13</xdr:col>
                    <xdr:colOff>657225</xdr:colOff>
                    <xdr:row>109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5" r:id="rId17" name="Button 1088">
              <controlPr defaultSize="0" autoPict="0" macro="Module5.Macro6">
                <anchor moveWithCells="1" sizeWithCells="1">
                  <from>
                    <xdr:col>10</xdr:col>
                    <xdr:colOff>704850</xdr:colOff>
                    <xdr:row>132</xdr:row>
                    <xdr:rowOff>180975</xdr:rowOff>
                  </from>
                  <to>
                    <xdr:col>12</xdr:col>
                    <xdr:colOff>333375</xdr:colOff>
                    <xdr:row>135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4" r:id="rId18" name="Button 1112">
              <controlPr defaultSize="0" autoPict="0" macro="Module5.Macro6">
                <anchor moveWithCells="1" sizeWithCells="1">
                  <from>
                    <xdr:col>2</xdr:col>
                    <xdr:colOff>123825</xdr:colOff>
                    <xdr:row>151</xdr:row>
                    <xdr:rowOff>123825</xdr:rowOff>
                  </from>
                  <to>
                    <xdr:col>3</xdr:col>
                    <xdr:colOff>200025</xdr:colOff>
                    <xdr:row>154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19" name="Button 1089">
              <controlPr defaultSize="0" autoPict="0" macro="Module5.Macro6">
                <anchor moveWithCells="1" sizeWithCells="1">
                  <from>
                    <xdr:col>9</xdr:col>
                    <xdr:colOff>685800</xdr:colOff>
                    <xdr:row>143</xdr:row>
                    <xdr:rowOff>133350</xdr:rowOff>
                  </from>
                  <to>
                    <xdr:col>11</xdr:col>
                    <xdr:colOff>304800</xdr:colOff>
                    <xdr:row>146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2" r:id="rId20" name="Button 1127">
              <controlPr defaultSize="0" autoPict="0" macro="Module5.Macro6">
                <anchor moveWithCells="1" sizeWithCells="1">
                  <from>
                    <xdr:col>10</xdr:col>
                    <xdr:colOff>190500</xdr:colOff>
                    <xdr:row>167</xdr:row>
                    <xdr:rowOff>123825</xdr:rowOff>
                  </from>
                  <to>
                    <xdr:col>11</xdr:col>
                    <xdr:colOff>619125</xdr:colOff>
                    <xdr:row>171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1" r:id="rId21" name="Button 1123">
              <controlPr defaultSize="0" autoPict="0" macro="Module5.Macro6">
                <anchor moveWithCells="1" sizeWithCells="1">
                  <from>
                    <xdr:col>3</xdr:col>
                    <xdr:colOff>209550</xdr:colOff>
                    <xdr:row>164</xdr:row>
                    <xdr:rowOff>9525</xdr:rowOff>
                  </from>
                  <to>
                    <xdr:col>4</xdr:col>
                    <xdr:colOff>295275</xdr:colOff>
                    <xdr:row>166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0" r:id="rId22" name="Button 1090">
              <controlPr defaultSize="0" autoPict="0" macro="Module5.Macro6">
                <anchor moveWithCells="1" sizeWithCells="1">
                  <from>
                    <xdr:col>10</xdr:col>
                    <xdr:colOff>200025</xdr:colOff>
                    <xdr:row>180</xdr:row>
                    <xdr:rowOff>171450</xdr:rowOff>
                  </from>
                  <to>
                    <xdr:col>11</xdr:col>
                    <xdr:colOff>209550</xdr:colOff>
                    <xdr:row>184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23" name="Button 1118">
              <controlPr defaultSize="0" autoPict="0" macro="Module5.Macro6">
                <anchor moveWithCells="1" sizeWithCells="1">
                  <from>
                    <xdr:col>10</xdr:col>
                    <xdr:colOff>190500</xdr:colOff>
                    <xdr:row>207</xdr:row>
                    <xdr:rowOff>123825</xdr:rowOff>
                  </from>
                  <to>
                    <xdr:col>11</xdr:col>
                    <xdr:colOff>238125</xdr:colOff>
                    <xdr:row>211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24" name="Button 1094">
              <controlPr defaultSize="0" autoPict="0" macro="Module5.Macro6">
                <anchor moveWithCells="1" sizeWithCells="1">
                  <from>
                    <xdr:col>10</xdr:col>
                    <xdr:colOff>638175</xdr:colOff>
                    <xdr:row>232</xdr:row>
                    <xdr:rowOff>28575</xdr:rowOff>
                  </from>
                  <to>
                    <xdr:col>11</xdr:col>
                    <xdr:colOff>752475</xdr:colOff>
                    <xdr:row>235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25" name="Button 1095">
              <controlPr defaultSize="0" autoPict="0" macro="Module5.Macro6">
                <anchor moveWithCells="1" sizeWithCells="1">
                  <from>
                    <xdr:col>9</xdr:col>
                    <xdr:colOff>457200</xdr:colOff>
                    <xdr:row>244</xdr:row>
                    <xdr:rowOff>161925</xdr:rowOff>
                  </from>
                  <to>
                    <xdr:col>10</xdr:col>
                    <xdr:colOff>723900</xdr:colOff>
                    <xdr:row>247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26" name="Button 1096">
              <controlPr defaultSize="0" autoPict="0" macro="Module5.Macro6">
                <anchor moveWithCells="1" sizeWithCells="1">
                  <from>
                    <xdr:col>11</xdr:col>
                    <xdr:colOff>161925</xdr:colOff>
                    <xdr:row>262</xdr:row>
                    <xdr:rowOff>28575</xdr:rowOff>
                  </from>
                  <to>
                    <xdr:col>12</xdr:col>
                    <xdr:colOff>361950</xdr:colOff>
                    <xdr:row>265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" r:id="rId27" name="Button 1132">
              <controlPr defaultSize="0" autoPict="0" macro="Module5.Macro6">
                <anchor moveWithCells="1" sizeWithCells="1">
                  <from>
                    <xdr:col>10</xdr:col>
                    <xdr:colOff>657225</xdr:colOff>
                    <xdr:row>281</xdr:row>
                    <xdr:rowOff>133350</xdr:rowOff>
                  </from>
                  <to>
                    <xdr:col>11</xdr:col>
                    <xdr:colOff>676275</xdr:colOff>
                    <xdr:row>284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" r:id="rId28" name="Button 1097">
              <controlPr defaultSize="0" autoPict="0" macro="Module5.Macro6">
                <anchor moveWithCells="1" sizeWithCells="1">
                  <from>
                    <xdr:col>10</xdr:col>
                    <xdr:colOff>590550</xdr:colOff>
                    <xdr:row>297</xdr:row>
                    <xdr:rowOff>142875</xdr:rowOff>
                  </from>
                  <to>
                    <xdr:col>11</xdr:col>
                    <xdr:colOff>523875</xdr:colOff>
                    <xdr:row>300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" r:id="rId29" name="Button 1099">
              <controlPr defaultSize="0" autoPict="0" macro="Module5.Macro6">
                <anchor moveWithCells="1" sizeWithCells="1">
                  <from>
                    <xdr:col>11</xdr:col>
                    <xdr:colOff>552450</xdr:colOff>
                    <xdr:row>311</xdr:row>
                    <xdr:rowOff>76200</xdr:rowOff>
                  </from>
                  <to>
                    <xdr:col>12</xdr:col>
                    <xdr:colOff>695325</xdr:colOff>
                    <xdr:row>314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" r:id="rId30" name="Button 1150">
              <controlPr defaultSize="0" autoPict="0" macro="Module5.Macro6">
                <anchor moveWithCells="1" sizeWithCells="1">
                  <from>
                    <xdr:col>10</xdr:col>
                    <xdr:colOff>314325</xdr:colOff>
                    <xdr:row>332</xdr:row>
                    <xdr:rowOff>9525</xdr:rowOff>
                  </from>
                  <to>
                    <xdr:col>11</xdr:col>
                    <xdr:colOff>619125</xdr:colOff>
                    <xdr:row>334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" r:id="rId31" name="Button 1151">
              <controlPr defaultSize="0" autoPict="0" macro="Module5.Macro6">
                <anchor moveWithCells="1" sizeWithCells="1">
                  <from>
                    <xdr:col>10</xdr:col>
                    <xdr:colOff>209550</xdr:colOff>
                    <xdr:row>352</xdr:row>
                    <xdr:rowOff>133350</xdr:rowOff>
                  </from>
                  <to>
                    <xdr:col>11</xdr:col>
                    <xdr:colOff>514350</xdr:colOff>
                    <xdr:row>355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" r:id="rId32" name="Button 1152">
              <controlPr defaultSize="0" autoPict="0" macro="Module5.Macro6">
                <anchor moveWithCells="1" sizeWithCells="1">
                  <from>
                    <xdr:col>10</xdr:col>
                    <xdr:colOff>409575</xdr:colOff>
                    <xdr:row>376</xdr:row>
                    <xdr:rowOff>47625</xdr:rowOff>
                  </from>
                  <to>
                    <xdr:col>11</xdr:col>
                    <xdr:colOff>714375</xdr:colOff>
                    <xdr:row>379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" r:id="rId33" name="Button 1153">
              <controlPr defaultSize="0" autoPict="0" macro="Module5.Macro6">
                <anchor moveWithCells="1" sizeWithCells="1">
                  <from>
                    <xdr:col>25</xdr:col>
                    <xdr:colOff>409575</xdr:colOff>
                    <xdr:row>22</xdr:row>
                    <xdr:rowOff>114300</xdr:rowOff>
                  </from>
                  <to>
                    <xdr:col>27</xdr:col>
                    <xdr:colOff>161925</xdr:colOff>
                    <xdr:row>24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0" r:id="rId34" name="Button 1100">
              <controlPr defaultSize="0" print="0" autoFill="0" autoPict="0" macro="Module5.Macro6" altText="OK">
                <anchor moveWithCells="1">
                  <from>
                    <xdr:col>2</xdr:col>
                    <xdr:colOff>200025</xdr:colOff>
                    <xdr:row>7</xdr:row>
                    <xdr:rowOff>38100</xdr:rowOff>
                  </from>
                  <to>
                    <xdr:col>3</xdr:col>
                    <xdr:colOff>276225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1" r:id="rId35" name="Button 1075">
              <controlPr defaultSize="0" print="0" autoFill="0" autoPict="0" macro="Module5.Macro6" altText="OK">
                <anchor moveWithCells="1">
                  <from>
                    <xdr:col>10</xdr:col>
                    <xdr:colOff>209550</xdr:colOff>
                    <xdr:row>22</xdr:row>
                    <xdr:rowOff>152400</xdr:rowOff>
                  </from>
                  <to>
                    <xdr:col>11</xdr:col>
                    <xdr:colOff>723900</xdr:colOff>
                    <xdr:row>25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2" r:id="rId36" name="Button 1101">
              <controlPr defaultSize="0" print="0" autoFill="0" autoPict="0" macro="Module5.Macro6" altText="OK">
                <anchor moveWithCells="1">
                  <from>
                    <xdr:col>3</xdr:col>
                    <xdr:colOff>95250</xdr:colOff>
                    <xdr:row>19</xdr:row>
                    <xdr:rowOff>123825</xdr:rowOff>
                  </from>
                  <to>
                    <xdr:col>4</xdr:col>
                    <xdr:colOff>438150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3" r:id="rId37" name="Button 1104">
              <controlPr defaultSize="0" print="0" autoFill="0" autoPict="0" macro="Module5.Macro6" altText="OK">
                <anchor moveWithCells="1">
                  <from>
                    <xdr:col>2</xdr:col>
                    <xdr:colOff>180975</xdr:colOff>
                    <xdr:row>36</xdr:row>
                    <xdr:rowOff>38100</xdr:rowOff>
                  </from>
                  <to>
                    <xdr:col>3</xdr:col>
                    <xdr:colOff>257175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4" r:id="rId38" name="Button 1105">
              <controlPr defaultSize="0" print="0" autoFill="0" autoPict="0" macro="Module5.Macro6" altText="OK">
                <anchor moveWithCells="1">
                  <from>
                    <xdr:col>3</xdr:col>
                    <xdr:colOff>161925</xdr:colOff>
                    <xdr:row>56</xdr:row>
                    <xdr:rowOff>104775</xdr:rowOff>
                  </from>
                  <to>
                    <xdr:col>4</xdr:col>
                    <xdr:colOff>238125</xdr:colOff>
                    <xdr:row>59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5" r:id="rId39" name="Button 1106">
              <controlPr defaultSize="0" print="0" autoFill="0" autoPict="0" macro="Module5.Macro6" altText="OK">
                <anchor moveWithCells="1">
                  <from>
                    <xdr:col>2</xdr:col>
                    <xdr:colOff>200025</xdr:colOff>
                    <xdr:row>68</xdr:row>
                    <xdr:rowOff>38100</xdr:rowOff>
                  </from>
                  <to>
                    <xdr:col>3</xdr:col>
                    <xdr:colOff>276225</xdr:colOff>
                    <xdr:row>71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6" r:id="rId40" name="Button 1107">
              <controlPr defaultSize="0" print="0" autoFill="0" autoPict="0" macro="Module5.Macro6" altText="OK">
                <anchor moveWithCells="1">
                  <from>
                    <xdr:col>2</xdr:col>
                    <xdr:colOff>676275</xdr:colOff>
                    <xdr:row>78</xdr:row>
                    <xdr:rowOff>161925</xdr:rowOff>
                  </from>
                  <to>
                    <xdr:col>3</xdr:col>
                    <xdr:colOff>571500</xdr:colOff>
                    <xdr:row>81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7" r:id="rId41" name="Button 1108">
              <controlPr defaultSize="0" print="0" autoFill="0" autoPict="0" macro="Module5.Macro6" altText="OK">
                <anchor moveWithCells="1">
                  <from>
                    <xdr:col>2</xdr:col>
                    <xdr:colOff>190500</xdr:colOff>
                    <xdr:row>97</xdr:row>
                    <xdr:rowOff>95250</xdr:rowOff>
                  </from>
                  <to>
                    <xdr:col>3</xdr:col>
                    <xdr:colOff>276225</xdr:colOff>
                    <xdr:row>100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8" r:id="rId42" name="Button 1109">
              <controlPr defaultSize="0" print="0" autoFill="0" autoPict="0" macro="Module5.Macro6" altText="OK">
                <anchor moveWithCells="1">
                  <from>
                    <xdr:col>2</xdr:col>
                    <xdr:colOff>381000</xdr:colOff>
                    <xdr:row>108</xdr:row>
                    <xdr:rowOff>133350</xdr:rowOff>
                  </from>
                  <to>
                    <xdr:col>3</xdr:col>
                    <xdr:colOff>400050</xdr:colOff>
                    <xdr:row>111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9" r:id="rId43" name="Button 1081">
              <controlPr defaultSize="0" print="0" autoFill="0" autoPict="0" macro="Module5.Macro6" altText="OK">
                <anchor moveWithCells="1">
                  <from>
                    <xdr:col>13</xdr:col>
                    <xdr:colOff>0</xdr:colOff>
                    <xdr:row>52</xdr:row>
                    <xdr:rowOff>114300</xdr:rowOff>
                  </from>
                  <to>
                    <xdr:col>14</xdr:col>
                    <xdr:colOff>247650</xdr:colOff>
                    <xdr:row>54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0" r:id="rId44" name="Button 1084">
              <controlPr defaultSize="0" print="0" autoFill="0" autoPict="0" macro="Module5.Macro6" altText="OK">
                <anchor moveWithCells="1">
                  <from>
                    <xdr:col>12</xdr:col>
                    <xdr:colOff>647700</xdr:colOff>
                    <xdr:row>79</xdr:row>
                    <xdr:rowOff>57150</xdr:rowOff>
                  </from>
                  <to>
                    <xdr:col>14</xdr:col>
                    <xdr:colOff>400050</xdr:colOff>
                    <xdr:row>81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1" r:id="rId45" name="Button 1110">
              <controlPr defaultSize="0" print="0" autoFill="0" autoPict="0" macro="Module5.Macro6" altText="OK">
                <anchor moveWithCells="1">
                  <from>
                    <xdr:col>2</xdr:col>
                    <xdr:colOff>352425</xdr:colOff>
                    <xdr:row>123</xdr:row>
                    <xdr:rowOff>123825</xdr:rowOff>
                  </from>
                  <to>
                    <xdr:col>3</xdr:col>
                    <xdr:colOff>428625</xdr:colOff>
                    <xdr:row>126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2" r:id="rId46" name="Button 1111">
              <controlPr defaultSize="0" print="0" autoFill="0" autoPict="0" macro="Module5.Macro6" altText="OK">
                <anchor moveWithCells="1">
                  <from>
                    <xdr:col>2</xdr:col>
                    <xdr:colOff>171450</xdr:colOff>
                    <xdr:row>139</xdr:row>
                    <xdr:rowOff>171450</xdr:rowOff>
                  </from>
                  <to>
                    <xdr:col>3</xdr:col>
                    <xdr:colOff>257175</xdr:colOff>
                    <xdr:row>142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3" r:id="rId47" name="Button 1117">
              <controlPr defaultSize="0" print="0" autoFill="0" autoPict="0" macro="Module5.Macro6" altText="OK">
                <anchor moveWithCells="1">
                  <from>
                    <xdr:col>12</xdr:col>
                    <xdr:colOff>371475</xdr:colOff>
                    <xdr:row>106</xdr:row>
                    <xdr:rowOff>209550</xdr:rowOff>
                  </from>
                  <to>
                    <xdr:col>13</xdr:col>
                    <xdr:colOff>657225</xdr:colOff>
                    <xdr:row>109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4" r:id="rId48" name="Button 1088">
              <controlPr defaultSize="0" print="0" autoFill="0" autoPict="0" macro="Module5.Macro6" altText="OK">
                <anchor moveWithCells="1">
                  <from>
                    <xdr:col>10</xdr:col>
                    <xdr:colOff>704850</xdr:colOff>
                    <xdr:row>132</xdr:row>
                    <xdr:rowOff>180975</xdr:rowOff>
                  </from>
                  <to>
                    <xdr:col>12</xdr:col>
                    <xdr:colOff>333375</xdr:colOff>
                    <xdr:row>135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5" r:id="rId49" name="Button 1112">
              <controlPr defaultSize="0" print="0" autoFill="0" autoPict="0" macro="Module5.Macro6" altText="OK">
                <anchor moveWithCells="1">
                  <from>
                    <xdr:col>2</xdr:col>
                    <xdr:colOff>123825</xdr:colOff>
                    <xdr:row>151</xdr:row>
                    <xdr:rowOff>123825</xdr:rowOff>
                  </from>
                  <to>
                    <xdr:col>3</xdr:col>
                    <xdr:colOff>200025</xdr:colOff>
                    <xdr:row>154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6" r:id="rId50" name="Button 1089">
              <controlPr defaultSize="0" print="0" autoFill="0" autoPict="0" macro="Module5.Macro6" altText="OK">
                <anchor moveWithCells="1">
                  <from>
                    <xdr:col>9</xdr:col>
                    <xdr:colOff>685800</xdr:colOff>
                    <xdr:row>143</xdr:row>
                    <xdr:rowOff>133350</xdr:rowOff>
                  </from>
                  <to>
                    <xdr:col>11</xdr:col>
                    <xdr:colOff>304800</xdr:colOff>
                    <xdr:row>146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7" r:id="rId51" name="Button 1127">
              <controlPr defaultSize="0" print="0" autoFill="0" autoPict="0" macro="Module5.Macro6" altText="OK">
                <anchor moveWithCells="1">
                  <from>
                    <xdr:col>10</xdr:col>
                    <xdr:colOff>190500</xdr:colOff>
                    <xdr:row>167</xdr:row>
                    <xdr:rowOff>123825</xdr:rowOff>
                  </from>
                  <to>
                    <xdr:col>11</xdr:col>
                    <xdr:colOff>619125</xdr:colOff>
                    <xdr:row>171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8" r:id="rId52" name="Button 1123">
              <controlPr defaultSize="0" print="0" autoFill="0" autoPict="0" macro="Module5.Macro6" altText="OK">
                <anchor moveWithCells="1">
                  <from>
                    <xdr:col>3</xdr:col>
                    <xdr:colOff>209550</xdr:colOff>
                    <xdr:row>164</xdr:row>
                    <xdr:rowOff>9525</xdr:rowOff>
                  </from>
                  <to>
                    <xdr:col>4</xdr:col>
                    <xdr:colOff>295275</xdr:colOff>
                    <xdr:row>166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9" r:id="rId53" name="Button 1090">
              <controlPr defaultSize="0" print="0" autoFill="0" autoPict="0" macro="Module5.Macro6" altText="OK">
                <anchor moveWithCells="1">
                  <from>
                    <xdr:col>10</xdr:col>
                    <xdr:colOff>200025</xdr:colOff>
                    <xdr:row>180</xdr:row>
                    <xdr:rowOff>171450</xdr:rowOff>
                  </from>
                  <to>
                    <xdr:col>11</xdr:col>
                    <xdr:colOff>209550</xdr:colOff>
                    <xdr:row>184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0" r:id="rId54" name="Button 1118">
              <controlPr defaultSize="0" print="0" autoFill="0" autoPict="0" macro="Module5.Macro6" altText="OK">
                <anchor moveWithCells="1">
                  <from>
                    <xdr:col>10</xdr:col>
                    <xdr:colOff>190500</xdr:colOff>
                    <xdr:row>207</xdr:row>
                    <xdr:rowOff>123825</xdr:rowOff>
                  </from>
                  <to>
                    <xdr:col>11</xdr:col>
                    <xdr:colOff>238125</xdr:colOff>
                    <xdr:row>211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1" r:id="rId55" name="Button 1094">
              <controlPr defaultSize="0" print="0" autoFill="0" autoPict="0" macro="Module5.Macro6" altText="OK">
                <anchor moveWithCells="1">
                  <from>
                    <xdr:col>10</xdr:col>
                    <xdr:colOff>638175</xdr:colOff>
                    <xdr:row>232</xdr:row>
                    <xdr:rowOff>28575</xdr:rowOff>
                  </from>
                  <to>
                    <xdr:col>11</xdr:col>
                    <xdr:colOff>752475</xdr:colOff>
                    <xdr:row>235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2" r:id="rId56" name="Button 1095">
              <controlPr defaultSize="0" print="0" autoFill="0" autoPict="0" macro="Module5.Macro6" altText="OK">
                <anchor moveWithCells="1">
                  <from>
                    <xdr:col>9</xdr:col>
                    <xdr:colOff>457200</xdr:colOff>
                    <xdr:row>244</xdr:row>
                    <xdr:rowOff>161925</xdr:rowOff>
                  </from>
                  <to>
                    <xdr:col>10</xdr:col>
                    <xdr:colOff>723900</xdr:colOff>
                    <xdr:row>247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68" r:id="rId57" name="Button 1096">
              <controlPr defaultSize="0" print="0" autoFill="0" autoPict="0" macro="Module5.Macro6" altText="OK">
                <anchor moveWithCells="1">
                  <from>
                    <xdr:col>11</xdr:col>
                    <xdr:colOff>161925</xdr:colOff>
                    <xdr:row>262</xdr:row>
                    <xdr:rowOff>28575</xdr:rowOff>
                  </from>
                  <to>
                    <xdr:col>12</xdr:col>
                    <xdr:colOff>361950</xdr:colOff>
                    <xdr:row>265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69" r:id="rId58" name="Button 1132">
              <controlPr defaultSize="0" print="0" autoFill="0" autoPict="0" macro="Module5.Macro6" altText="OK">
                <anchor moveWithCells="1">
                  <from>
                    <xdr:col>10</xdr:col>
                    <xdr:colOff>657225</xdr:colOff>
                    <xdr:row>281</xdr:row>
                    <xdr:rowOff>133350</xdr:rowOff>
                  </from>
                  <to>
                    <xdr:col>11</xdr:col>
                    <xdr:colOff>676275</xdr:colOff>
                    <xdr:row>284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9" name="Button 1097">
              <controlPr defaultSize="0" print="0" autoFill="0" autoPict="0" macro="Module5.Macro6" altText="OK">
                <anchor moveWithCells="1">
                  <from>
                    <xdr:col>10</xdr:col>
                    <xdr:colOff>590550</xdr:colOff>
                    <xdr:row>297</xdr:row>
                    <xdr:rowOff>142875</xdr:rowOff>
                  </from>
                  <to>
                    <xdr:col>11</xdr:col>
                    <xdr:colOff>523875</xdr:colOff>
                    <xdr:row>300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0" name="Button 1099">
              <controlPr defaultSize="0" print="0" autoFill="0" autoPict="0" macro="Module5.Macro6" altText="OK">
                <anchor moveWithCells="1">
                  <from>
                    <xdr:col>11</xdr:col>
                    <xdr:colOff>552450</xdr:colOff>
                    <xdr:row>311</xdr:row>
                    <xdr:rowOff>76200</xdr:rowOff>
                  </from>
                  <to>
                    <xdr:col>12</xdr:col>
                    <xdr:colOff>695325</xdr:colOff>
                    <xdr:row>314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61" name="Button 1150">
              <controlPr defaultSize="0" print="0" autoFill="0" autoPict="0" macro="Module5.Macro6" altText="OK">
                <anchor moveWithCells="1">
                  <from>
                    <xdr:col>10</xdr:col>
                    <xdr:colOff>314325</xdr:colOff>
                    <xdr:row>332</xdr:row>
                    <xdr:rowOff>9525</xdr:rowOff>
                  </from>
                  <to>
                    <xdr:col>11</xdr:col>
                    <xdr:colOff>619125</xdr:colOff>
                    <xdr:row>334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62" name="Button 1151">
              <controlPr defaultSize="0" print="0" autoFill="0" autoPict="0" macro="Module5.Macro6" altText="OK">
                <anchor moveWithCells="1">
                  <from>
                    <xdr:col>10</xdr:col>
                    <xdr:colOff>209550</xdr:colOff>
                    <xdr:row>352</xdr:row>
                    <xdr:rowOff>133350</xdr:rowOff>
                  </from>
                  <to>
                    <xdr:col>11</xdr:col>
                    <xdr:colOff>514350</xdr:colOff>
                    <xdr:row>355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63" name="Button 1152">
              <controlPr defaultSize="0" print="0" autoFill="0" autoPict="0" macro="Module5.Macro6" altText="OK">
                <anchor moveWithCells="1">
                  <from>
                    <xdr:col>10</xdr:col>
                    <xdr:colOff>409575</xdr:colOff>
                    <xdr:row>376</xdr:row>
                    <xdr:rowOff>47625</xdr:rowOff>
                  </from>
                  <to>
                    <xdr:col>11</xdr:col>
                    <xdr:colOff>714375</xdr:colOff>
                    <xdr:row>379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64" name="Button 1153">
              <controlPr defaultSize="0" print="0" autoFill="0" autoPict="0" macro="Module5.Macro6" altText="OK">
                <anchor moveWithCells="1">
                  <from>
                    <xdr:col>25</xdr:col>
                    <xdr:colOff>409575</xdr:colOff>
                    <xdr:row>22</xdr:row>
                    <xdr:rowOff>114300</xdr:rowOff>
                  </from>
                  <to>
                    <xdr:col>27</xdr:col>
                    <xdr:colOff>161925</xdr:colOff>
                    <xdr:row>24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R190"/>
  <sheetViews>
    <sheetView zoomScaleNormal="100" workbookViewId="0"/>
  </sheetViews>
  <sheetFormatPr defaultColWidth="11.5703125" defaultRowHeight="12.75" customHeight="1" x14ac:dyDescent="0.2"/>
  <sheetData>
    <row r="1" spans="1:96" x14ac:dyDescent="0.2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9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</row>
    <row r="2" spans="1:96" x14ac:dyDescent="0.2">
      <c r="A2" s="17"/>
      <c r="B2" s="17"/>
      <c r="C2" s="17" t="s">
        <v>203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 t="s">
        <v>192</v>
      </c>
      <c r="CI2" s="17">
        <v>4599786</v>
      </c>
      <c r="CJ2" s="562">
        <v>0</v>
      </c>
    </row>
    <row r="3" spans="1:96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>
        <v>20.16</v>
      </c>
      <c r="V3" s="401">
        <v>2.4</v>
      </c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9"/>
      <c r="CJ3" s="562">
        <v>0</v>
      </c>
    </row>
    <row r="4" spans="1:96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>
        <v>17.64</v>
      </c>
      <c r="V4" s="402">
        <v>2.1</v>
      </c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9" t="s">
        <v>193</v>
      </c>
      <c r="CI4" s="9">
        <v>0</v>
      </c>
      <c r="CJ4" s="17"/>
    </row>
    <row r="5" spans="1:96" x14ac:dyDescent="0.2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>
        <v>36.119999999999997</v>
      </c>
      <c r="V5" s="402">
        <v>4.3</v>
      </c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9" t="s">
        <v>194</v>
      </c>
      <c r="CI5" s="9">
        <v>6.1280522599999996</v>
      </c>
      <c r="CJ5" s="17"/>
    </row>
    <row r="6" spans="1:96" x14ac:dyDescent="0.2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>
        <v>21.84</v>
      </c>
      <c r="V6" s="402">
        <v>2.6</v>
      </c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9" t="s">
        <v>195</v>
      </c>
      <c r="CI6" s="9">
        <v>0</v>
      </c>
      <c r="CJ6" s="9">
        <v>0</v>
      </c>
    </row>
    <row r="7" spans="1:96" x14ac:dyDescent="0.2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>
        <v>13.44</v>
      </c>
      <c r="V7" s="402">
        <v>1.6</v>
      </c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9" t="s">
        <v>196</v>
      </c>
      <c r="CI7" s="9">
        <v>0</v>
      </c>
      <c r="CJ7" s="9"/>
    </row>
    <row r="8" spans="1:96" x14ac:dyDescent="0.2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>
        <v>13.44</v>
      </c>
      <c r="V8" s="402">
        <v>1.6</v>
      </c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 t="s">
        <v>350</v>
      </c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9" t="s">
        <v>200</v>
      </c>
      <c r="CI8" s="562">
        <v>0</v>
      </c>
      <c r="CJ8" s="9"/>
    </row>
    <row r="9" spans="1:96" x14ac:dyDescent="0.2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>
        <v>11.76</v>
      </c>
      <c r="V9" s="402">
        <v>1.4</v>
      </c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 t="s">
        <v>351</v>
      </c>
      <c r="CI9" s="17" t="s">
        <v>352</v>
      </c>
      <c r="CJ9" s="17"/>
    </row>
    <row r="10" spans="1:96" x14ac:dyDescent="0.2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>
        <v>11.76</v>
      </c>
      <c r="V10" s="411">
        <v>1.4</v>
      </c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 t="s">
        <v>203</v>
      </c>
      <c r="AW10" s="17" t="s">
        <v>204</v>
      </c>
      <c r="AX10" s="17"/>
      <c r="AY10" s="17"/>
      <c r="AZ10" s="17"/>
      <c r="BA10" s="17"/>
      <c r="BB10" s="17"/>
      <c r="BC10" s="17"/>
      <c r="BD10" s="17"/>
      <c r="BE10" s="17" t="s">
        <v>201</v>
      </c>
      <c r="BF10" s="17" t="s">
        <v>202</v>
      </c>
      <c r="BG10" s="17" t="s">
        <v>206</v>
      </c>
      <c r="BH10" s="17" t="s">
        <v>207</v>
      </c>
      <c r="BI10" s="17" t="s">
        <v>208</v>
      </c>
      <c r="BJ10" s="17" t="s">
        <v>209</v>
      </c>
      <c r="BK10" s="17" t="s">
        <v>210</v>
      </c>
      <c r="BL10" s="17" t="s">
        <v>211</v>
      </c>
      <c r="BM10" s="17" t="s">
        <v>212</v>
      </c>
      <c r="BN10" s="17"/>
      <c r="BO10" s="17"/>
      <c r="BP10" s="17"/>
      <c r="BQ10" s="17"/>
      <c r="BR10" s="17" t="s">
        <v>353</v>
      </c>
      <c r="BS10" s="17"/>
      <c r="BT10" s="17"/>
      <c r="BU10" s="17"/>
      <c r="BV10" s="17"/>
      <c r="BW10" s="17" t="s">
        <v>354</v>
      </c>
      <c r="BX10" s="17"/>
      <c r="BY10" s="17"/>
      <c r="BZ10" s="17" t="s">
        <v>355</v>
      </c>
      <c r="CA10" s="17"/>
      <c r="CB10" s="17" t="s">
        <v>213</v>
      </c>
      <c r="CC10" s="17"/>
      <c r="CD10" s="17"/>
      <c r="CE10" s="17"/>
      <c r="CF10" s="17" t="s">
        <v>211</v>
      </c>
      <c r="CG10" s="17"/>
      <c r="CH10" s="17" t="s">
        <v>220</v>
      </c>
      <c r="CI10" s="17" t="s">
        <v>221</v>
      </c>
      <c r="CJ10" s="17"/>
      <c r="CK10" t="s">
        <v>222</v>
      </c>
      <c r="CM10" s="417" t="s">
        <v>200</v>
      </c>
      <c r="CN10" s="418" t="s">
        <v>192</v>
      </c>
      <c r="CP10" t="s">
        <v>223</v>
      </c>
      <c r="CR10" t="s">
        <v>211</v>
      </c>
    </row>
    <row r="11" spans="1:96" ht="15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>
        <v>0</v>
      </c>
      <c r="AW11" s="400">
        <v>343.54586691227399</v>
      </c>
      <c r="AX11" s="17"/>
      <c r="AY11" s="17"/>
      <c r="AZ11" s="17"/>
      <c r="BA11" s="17"/>
      <c r="BB11" s="101">
        <v>0</v>
      </c>
      <c r="BC11" s="17">
        <v>0</v>
      </c>
      <c r="BD11" s="17">
        <v>0</v>
      </c>
      <c r="BE11" s="9">
        <v>343.54586691227399</v>
      </c>
      <c r="BF11" s="17">
        <v>0</v>
      </c>
      <c r="BG11" s="400">
        <v>180</v>
      </c>
      <c r="BH11" s="17">
        <v>1</v>
      </c>
      <c r="BI11" s="400">
        <v>180</v>
      </c>
      <c r="BJ11" s="17">
        <v>1</v>
      </c>
      <c r="BK11" s="17">
        <v>0</v>
      </c>
      <c r="BL11" s="17">
        <v>0</v>
      </c>
      <c r="BM11" s="17">
        <v>0</v>
      </c>
      <c r="BN11" s="17"/>
      <c r="BO11" s="17"/>
      <c r="BP11" s="17"/>
      <c r="BQ11" s="17"/>
      <c r="BR11" s="17">
        <v>0</v>
      </c>
      <c r="BS11" s="17"/>
      <c r="BT11" s="17"/>
      <c r="BU11" s="17"/>
      <c r="BV11" s="17"/>
      <c r="BW11" s="17">
        <v>0</v>
      </c>
      <c r="BX11" s="17"/>
      <c r="BY11" s="17">
        <v>0</v>
      </c>
      <c r="BZ11" s="17">
        <v>81.247175017487706</v>
      </c>
      <c r="CA11" s="17"/>
      <c r="CB11" s="17">
        <v>3600</v>
      </c>
      <c r="CC11" s="17"/>
      <c r="CD11" s="17">
        <v>300</v>
      </c>
      <c r="CE11" s="17"/>
      <c r="CF11" s="17">
        <v>0</v>
      </c>
      <c r="CG11" s="17"/>
      <c r="CH11" s="17">
        <v>0</v>
      </c>
      <c r="CI11" s="17">
        <v>0</v>
      </c>
      <c r="CJ11" s="17"/>
      <c r="CK11" t="e">
        <f>SQRT(((2*[1]Sheet1!$G$24/2*BC11)/[1]Sheet1!$N$30*((1-([1]Sheet2!$BQ$879*[1]Sheet2!$BQ$881))*[1]Sheet2!$BQ$885/([1]Sheet2!$BQ$882*[1]Sheet2!$BQ$881))*60*29.37))</f>
        <v>#DIV/0!</v>
      </c>
      <c r="CM11" s="430">
        <v>0</v>
      </c>
      <c r="CN11" s="431">
        <v>4599786</v>
      </c>
      <c r="CO11" s="686">
        <v>0</v>
      </c>
      <c r="CP11" s="433">
        <v>0</v>
      </c>
      <c r="CQ11" t="e">
        <f t="shared" ref="CQ11:CQ42" si="0">((CP11*4389120*($D$146^(1+$J$80)))/($J$81*($D$150^$J$80)))*(1.26/(3+1/$J$80))^$J$80</f>
        <v>#DIV/0!</v>
      </c>
      <c r="CR11" t="e">
        <f>((([1]Sheet1!$N$29/CH11)-1)*LN(CK11/([1]Sheet1!$G$24/2)))</f>
        <v>#DIV/0!</v>
      </c>
    </row>
    <row r="12" spans="1:96" ht="15" x14ac:dyDescent="0.25">
      <c r="A12" s="17"/>
      <c r="B12" t="s">
        <v>356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400">
        <v>120.273067118843</v>
      </c>
      <c r="AW12" s="17">
        <v>223.27279979343101</v>
      </c>
      <c r="AX12" s="17"/>
      <c r="AY12" s="17"/>
      <c r="AZ12" s="17">
        <v>0</v>
      </c>
      <c r="BA12" s="17"/>
      <c r="BB12" s="101">
        <v>0.38355455572728703</v>
      </c>
      <c r="BC12" s="66">
        <v>1</v>
      </c>
      <c r="BD12" s="102">
        <v>0</v>
      </c>
      <c r="BE12" s="9">
        <v>340.54586691227399</v>
      </c>
      <c r="BF12" s="9">
        <v>3</v>
      </c>
      <c r="BG12" s="400">
        <v>0</v>
      </c>
      <c r="BH12" s="17">
        <v>0</v>
      </c>
      <c r="BI12" s="17">
        <v>0</v>
      </c>
      <c r="BJ12" s="17">
        <v>0.9</v>
      </c>
      <c r="BK12" s="17">
        <v>0</v>
      </c>
      <c r="BL12" s="17">
        <v>0</v>
      </c>
      <c r="BM12" s="17">
        <v>0</v>
      </c>
      <c r="BN12" s="17"/>
      <c r="BO12" s="17"/>
      <c r="BP12" s="17"/>
      <c r="BQ12" s="17"/>
      <c r="BR12" s="17">
        <v>3.3849614377210302</v>
      </c>
      <c r="BS12" s="17"/>
      <c r="BT12" s="17">
        <v>0</v>
      </c>
      <c r="BU12" s="17"/>
      <c r="BV12" s="17"/>
      <c r="BW12" s="17">
        <v>0.38355455572728703</v>
      </c>
      <c r="BX12" s="17"/>
      <c r="BY12" s="17">
        <v>1.3541195836247999</v>
      </c>
      <c r="BZ12" s="17">
        <v>80.225157289432701</v>
      </c>
      <c r="CA12" s="17"/>
      <c r="CB12" s="17">
        <v>3510</v>
      </c>
      <c r="CC12" s="17"/>
      <c r="CD12" s="17">
        <v>292.5</v>
      </c>
      <c r="CE12" s="17"/>
      <c r="CF12" s="17">
        <v>0</v>
      </c>
      <c r="CG12" s="17"/>
      <c r="CH12" s="17">
        <v>0</v>
      </c>
      <c r="CI12" s="17">
        <v>0</v>
      </c>
      <c r="CJ12" s="17"/>
      <c r="CK12" t="e">
        <f>SQRT(((2*[1]Sheet1!$G$24/2*BC12)/[1]Sheet1!$N$30*((1-([1]Sheet2!$BQ$879*[1]Sheet2!$BQ$881))*[1]Sheet2!$BQ$885/([1]Sheet2!$BQ$882*[1]Sheet2!$BQ$881))*60*29.37))</f>
        <v>#DIV/0!</v>
      </c>
      <c r="CM12" s="430">
        <v>0</v>
      </c>
      <c r="CN12" s="431">
        <v>4599786</v>
      </c>
      <c r="CO12" s="686">
        <v>0</v>
      </c>
      <c r="CP12" s="433">
        <v>0</v>
      </c>
      <c r="CQ12" t="e">
        <f t="shared" si="0"/>
        <v>#DIV/0!</v>
      </c>
      <c r="CR12" t="e">
        <f>((([1]Sheet1!$N$29/CH12)-1)*LN(CK12/([1]Sheet1!$G$24/2)))</f>
        <v>#DIV/0!</v>
      </c>
    </row>
    <row r="13" spans="1:96" ht="15" x14ac:dyDescent="0.25">
      <c r="A13" s="17"/>
      <c r="B13" t="s">
        <v>357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400">
        <v>147.41614825035199</v>
      </c>
      <c r="AW13" s="17">
        <v>196.12971866192299</v>
      </c>
      <c r="AX13" s="17"/>
      <c r="AY13" s="17">
        <v>0</v>
      </c>
      <c r="AZ13" s="17">
        <v>0</v>
      </c>
      <c r="BA13" s="17"/>
      <c r="BB13" s="101">
        <v>0.71342304852313998</v>
      </c>
      <c r="BC13" s="17">
        <v>2</v>
      </c>
      <c r="BD13" s="102">
        <v>0</v>
      </c>
      <c r="BE13" s="9">
        <v>337.54586691227399</v>
      </c>
      <c r="BF13" s="9">
        <v>6</v>
      </c>
      <c r="BG13" s="17">
        <v>0</v>
      </c>
      <c r="BH13" s="17">
        <v>0</v>
      </c>
      <c r="BI13" s="17">
        <v>0</v>
      </c>
      <c r="BJ13" s="17">
        <v>0.8</v>
      </c>
      <c r="BK13" s="17">
        <v>0</v>
      </c>
      <c r="BL13" s="17">
        <v>0</v>
      </c>
      <c r="BM13" s="17">
        <v>0</v>
      </c>
      <c r="BN13" s="17"/>
      <c r="BO13" s="17"/>
      <c r="BP13" s="17"/>
      <c r="BQ13" s="17"/>
      <c r="BR13" s="17">
        <v>3.7304058585785</v>
      </c>
      <c r="BS13" s="17"/>
      <c r="BT13" s="17">
        <v>0</v>
      </c>
      <c r="BU13" s="17"/>
      <c r="BV13" s="17"/>
      <c r="BW13" s="17">
        <v>0.71342304852313998</v>
      </c>
      <c r="BX13" s="17"/>
      <c r="BY13" s="17">
        <v>1.9150142802371899</v>
      </c>
      <c r="BZ13" s="17">
        <v>79.189950599215294</v>
      </c>
      <c r="CA13" s="17"/>
      <c r="CB13" s="17">
        <v>3420</v>
      </c>
      <c r="CC13" s="17"/>
      <c r="CD13" s="17">
        <v>285</v>
      </c>
      <c r="CE13" s="17"/>
      <c r="CF13" s="17">
        <v>0</v>
      </c>
      <c r="CG13" s="17"/>
      <c r="CH13" s="17">
        <v>0</v>
      </c>
      <c r="CI13" s="17">
        <v>0</v>
      </c>
      <c r="CJ13" s="17"/>
      <c r="CK13" t="e">
        <f>SQRT(((2*[1]Sheet1!$G$24/2*BC13)/[1]Sheet1!$N$30*((1-([1]Sheet2!$BQ$879*[1]Sheet2!$BQ$881))*[1]Sheet2!$BQ$885/([1]Sheet2!$BQ$882*[1]Sheet2!$BQ$881))*60*29.37))</f>
        <v>#DIV/0!</v>
      </c>
      <c r="CM13" s="430">
        <v>0</v>
      </c>
      <c r="CN13" s="431">
        <v>4599786</v>
      </c>
      <c r="CO13" s="686">
        <v>0</v>
      </c>
      <c r="CP13" s="433">
        <v>0</v>
      </c>
      <c r="CQ13" t="e">
        <f t="shared" si="0"/>
        <v>#DIV/0!</v>
      </c>
      <c r="CR13" t="e">
        <f>((([1]Sheet1!$N$29/CH13)-1)*LN(CK13/([1]Sheet1!$G$24/2)))</f>
        <v>#DIV/0!</v>
      </c>
    </row>
    <row r="14" spans="1:96" ht="15" x14ac:dyDescent="0.25">
      <c r="A14" s="17"/>
      <c r="B14" s="17"/>
      <c r="C14" s="17"/>
      <c r="D14" s="17"/>
      <c r="E14" s="265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400">
        <v>192.45665820899799</v>
      </c>
      <c r="AW14" s="17">
        <v>151.089208703277</v>
      </c>
      <c r="AX14" s="17"/>
      <c r="AY14" s="17">
        <v>0</v>
      </c>
      <c r="AZ14" s="17">
        <v>0</v>
      </c>
      <c r="BA14" s="17"/>
      <c r="BB14" s="101">
        <v>1.52230912905746</v>
      </c>
      <c r="BC14" s="17">
        <v>5</v>
      </c>
      <c r="BD14" s="102">
        <v>0</v>
      </c>
      <c r="BE14" s="9">
        <v>0</v>
      </c>
      <c r="BF14" s="9">
        <v>0</v>
      </c>
      <c r="BG14" s="17">
        <v>0</v>
      </c>
      <c r="BH14" s="17">
        <v>0</v>
      </c>
      <c r="BI14" s="17">
        <v>0</v>
      </c>
      <c r="BJ14" s="17">
        <v>0.7</v>
      </c>
      <c r="BK14" s="17">
        <v>0</v>
      </c>
      <c r="BL14" s="17">
        <v>0</v>
      </c>
      <c r="BM14" s="17">
        <v>0</v>
      </c>
      <c r="BN14" s="17"/>
      <c r="BO14" s="17"/>
      <c r="BP14" s="17"/>
      <c r="BQ14" s="17"/>
      <c r="BR14" s="17">
        <v>4.6140892572957402</v>
      </c>
      <c r="BS14" s="17"/>
      <c r="BT14" s="17">
        <v>0</v>
      </c>
      <c r="BU14" s="17"/>
      <c r="BV14" s="17"/>
      <c r="BW14" s="17">
        <v>1.52230912905746</v>
      </c>
      <c r="BX14" s="17"/>
      <c r="BY14" s="17">
        <v>3.02790343864875</v>
      </c>
      <c r="BZ14" s="17">
        <v>78.141030769360299</v>
      </c>
      <c r="CA14" s="17"/>
      <c r="CB14" s="17">
        <v>3330</v>
      </c>
      <c r="CC14" s="17"/>
      <c r="CD14" s="17">
        <v>277.5</v>
      </c>
      <c r="CE14" s="17"/>
      <c r="CF14" s="17">
        <v>0</v>
      </c>
      <c r="CG14" s="17"/>
      <c r="CH14" s="17">
        <v>0</v>
      </c>
      <c r="CI14" s="17">
        <v>0</v>
      </c>
      <c r="CJ14" s="17"/>
      <c r="CK14" t="e">
        <f>SQRT(((2*[1]Sheet1!$G$24/2*BC14)/[1]Sheet1!$N$30*((1-([1]Sheet2!$BQ$879*[1]Sheet2!$BQ$881))*[1]Sheet2!$BQ$885/([1]Sheet2!$BQ$882*[1]Sheet2!$BQ$881))*60*29.37))</f>
        <v>#DIV/0!</v>
      </c>
      <c r="CM14" s="430">
        <v>0</v>
      </c>
      <c r="CN14" s="431">
        <v>4599786</v>
      </c>
      <c r="CO14" s="686">
        <v>0</v>
      </c>
      <c r="CP14" s="433">
        <v>0</v>
      </c>
      <c r="CQ14" t="e">
        <f t="shared" si="0"/>
        <v>#DIV/0!</v>
      </c>
      <c r="CR14" t="e">
        <f>((([1]Sheet1!$N$29/CH14)-1)*LN(CK14/([1]Sheet1!$G$24/2)))</f>
        <v>#DIV/0!</v>
      </c>
    </row>
    <row r="15" spans="1:96" ht="15" x14ac:dyDescent="0.25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400">
        <v>226.894400958153</v>
      </c>
      <c r="AW15" s="17">
        <v>116.65146595412099</v>
      </c>
      <c r="AX15" s="17"/>
      <c r="AY15" s="17">
        <v>0</v>
      </c>
      <c r="AZ15" s="17">
        <v>0</v>
      </c>
      <c r="BA15" s="17"/>
      <c r="BB15" s="101">
        <v>2.5621621191363899</v>
      </c>
      <c r="BC15" s="17">
        <v>10</v>
      </c>
      <c r="BD15" s="102">
        <v>0</v>
      </c>
      <c r="BE15" s="9">
        <v>0</v>
      </c>
      <c r="BF15" s="9">
        <v>0</v>
      </c>
      <c r="BG15" s="17">
        <v>0</v>
      </c>
      <c r="BH15" s="17">
        <v>0</v>
      </c>
      <c r="BI15" s="17">
        <v>0</v>
      </c>
      <c r="BJ15" s="17">
        <v>0.6</v>
      </c>
      <c r="BK15" s="17">
        <v>0</v>
      </c>
      <c r="BL15" s="17">
        <v>0</v>
      </c>
      <c r="BM15" s="17">
        <v>0</v>
      </c>
      <c r="BN15" s="17"/>
      <c r="BO15" s="17"/>
      <c r="BP15" s="17"/>
      <c r="BQ15" s="17"/>
      <c r="BR15" s="17">
        <v>5.7947941592936703</v>
      </c>
      <c r="BS15" s="17"/>
      <c r="BT15" s="17">
        <v>0</v>
      </c>
      <c r="BU15" s="17"/>
      <c r="BV15" s="17"/>
      <c r="BW15" s="17">
        <v>2.5621621191363899</v>
      </c>
      <c r="BX15" s="17"/>
      <c r="BY15" s="17">
        <v>4.2821021084932003</v>
      </c>
      <c r="BZ15" s="17">
        <v>77.077837952877601</v>
      </c>
      <c r="CA15" s="17"/>
      <c r="CB15" s="17">
        <v>3240</v>
      </c>
      <c r="CC15" s="17"/>
      <c r="CD15" s="17">
        <v>270</v>
      </c>
      <c r="CE15" s="17"/>
      <c r="CF15" s="17">
        <v>0</v>
      </c>
      <c r="CG15" s="17"/>
      <c r="CH15" s="17">
        <v>0</v>
      </c>
      <c r="CI15" s="17">
        <v>0</v>
      </c>
      <c r="CJ15" s="17"/>
      <c r="CK15" t="e">
        <f>SQRT(((2*[1]Sheet1!$G$24/2*BC15)/[1]Sheet1!$N$30*((1-([1]Sheet2!$BQ$879*[1]Sheet2!$BQ$881))*[1]Sheet2!$BQ$885/([1]Sheet2!$BQ$882*[1]Sheet2!$BQ$881))*60*29.37))</f>
        <v>#DIV/0!</v>
      </c>
      <c r="CM15" s="430">
        <v>0</v>
      </c>
      <c r="CN15" s="431">
        <v>4599786</v>
      </c>
      <c r="CO15" s="686">
        <v>0</v>
      </c>
      <c r="CP15" s="433">
        <v>0</v>
      </c>
      <c r="CQ15" t="e">
        <f t="shared" si="0"/>
        <v>#DIV/0!</v>
      </c>
      <c r="CR15" t="e">
        <f>((([1]Sheet1!$N$29/CH15)-1)*LN(CK15/([1]Sheet1!$G$24/2)))</f>
        <v>#DIV/0!</v>
      </c>
    </row>
    <row r="16" spans="1:96" ht="15" x14ac:dyDescent="0.25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 t="s">
        <v>245</v>
      </c>
      <c r="N16" s="17" t="s">
        <v>358</v>
      </c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400">
        <v>256.78714232061702</v>
      </c>
      <c r="AW16" s="17">
        <v>86.758724591657398</v>
      </c>
      <c r="AX16" s="17"/>
      <c r="AY16" s="17">
        <v>0</v>
      </c>
      <c r="AZ16" s="17">
        <v>0</v>
      </c>
      <c r="BA16" s="17"/>
      <c r="BB16" s="101">
        <v>4.1340562764427</v>
      </c>
      <c r="BC16" s="17">
        <v>20</v>
      </c>
      <c r="BD16" s="102">
        <v>0</v>
      </c>
      <c r="BE16" s="9">
        <v>0</v>
      </c>
      <c r="BF16" s="9">
        <v>0</v>
      </c>
      <c r="BG16" s="17">
        <v>0</v>
      </c>
      <c r="BH16" s="17">
        <v>0</v>
      </c>
      <c r="BI16" s="17">
        <v>0</v>
      </c>
      <c r="BJ16" s="17">
        <v>0</v>
      </c>
      <c r="BK16" s="17">
        <v>0</v>
      </c>
      <c r="BL16" s="17">
        <v>0</v>
      </c>
      <c r="BM16" s="17">
        <v>0</v>
      </c>
      <c r="BN16" s="17"/>
      <c r="BO16" s="17"/>
      <c r="BP16" s="17"/>
      <c r="BQ16" s="17"/>
      <c r="BR16" s="17">
        <v>7.6262230951610599</v>
      </c>
      <c r="BS16" s="17"/>
      <c r="BT16" s="17">
        <v>0</v>
      </c>
      <c r="BU16" s="17"/>
      <c r="BV16" s="17"/>
      <c r="BW16" s="17">
        <v>4.1340562764427</v>
      </c>
      <c r="BX16" s="17"/>
      <c r="BY16" s="17">
        <v>6.0558068772975098</v>
      </c>
      <c r="BZ16" s="17">
        <v>75.999773139674502</v>
      </c>
      <c r="CA16" s="17"/>
      <c r="CB16" s="17">
        <v>3150</v>
      </c>
      <c r="CC16" s="17"/>
      <c r="CD16" s="17">
        <v>262.5</v>
      </c>
      <c r="CE16" s="17"/>
      <c r="CF16" s="17">
        <v>0</v>
      </c>
      <c r="CG16" s="17"/>
      <c r="CH16" s="17">
        <v>0</v>
      </c>
      <c r="CI16" s="17">
        <v>0</v>
      </c>
      <c r="CJ16" s="17"/>
      <c r="CK16" t="e">
        <f>SQRT(((2*[1]Sheet1!$G$24/2*BC16)/[1]Sheet1!$N$30*((1-([1]Sheet2!$BQ$879*[1]Sheet2!$BQ$881))*[1]Sheet2!$BQ$885/([1]Sheet2!$BQ$882*[1]Sheet2!$BQ$881))*60*29.37))</f>
        <v>#DIV/0!</v>
      </c>
      <c r="CM16" s="430">
        <v>0</v>
      </c>
      <c r="CN16" s="431">
        <v>4599786</v>
      </c>
      <c r="CO16" s="686">
        <v>0</v>
      </c>
      <c r="CP16" s="433">
        <v>0</v>
      </c>
      <c r="CQ16" t="e">
        <f t="shared" si="0"/>
        <v>#DIV/0!</v>
      </c>
      <c r="CR16" t="e">
        <f>((([1]Sheet1!$N$29/CH16)-1)*LN(CK16/([1]Sheet1!$G$24/2)))</f>
        <v>#DIV/0!</v>
      </c>
    </row>
    <row r="17" spans="1:96" ht="15" x14ac:dyDescent="0.25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400">
        <v>271.41818445843597</v>
      </c>
      <c r="AW17" s="17">
        <v>72.127682453838801</v>
      </c>
      <c r="AX17" s="17"/>
      <c r="AY17" s="17">
        <v>0</v>
      </c>
      <c r="AZ17" s="17">
        <v>0</v>
      </c>
      <c r="BA17" s="17"/>
      <c r="BB17" s="101">
        <v>5.3783446384571398</v>
      </c>
      <c r="BC17" s="17">
        <v>30</v>
      </c>
      <c r="BD17" s="102">
        <v>0</v>
      </c>
      <c r="BE17" s="9">
        <v>0</v>
      </c>
      <c r="BF17" s="9">
        <v>0</v>
      </c>
      <c r="BG17" s="17">
        <v>0</v>
      </c>
      <c r="BH17" s="718">
        <v>0</v>
      </c>
      <c r="BI17" s="17">
        <v>0</v>
      </c>
      <c r="BJ17" s="718">
        <v>0</v>
      </c>
      <c r="BK17" s="17">
        <v>0</v>
      </c>
      <c r="BL17" s="17">
        <v>0</v>
      </c>
      <c r="BM17" s="718">
        <v>0</v>
      </c>
      <c r="BN17" s="17"/>
      <c r="BO17" s="17"/>
      <c r="BP17" s="17"/>
      <c r="BQ17" s="17"/>
      <c r="BR17" s="17">
        <v>9.0960935596415204</v>
      </c>
      <c r="BS17" s="17"/>
      <c r="BT17" s="17">
        <v>0</v>
      </c>
      <c r="BU17" s="17"/>
      <c r="BV17" s="17"/>
      <c r="BW17" s="17">
        <v>5.3783446384571398</v>
      </c>
      <c r="BX17" s="17"/>
      <c r="BY17" s="17">
        <v>7.4168184151080396</v>
      </c>
      <c r="BZ17" s="17">
        <v>74.906194210318404</v>
      </c>
      <c r="CA17" s="17"/>
      <c r="CB17" s="17">
        <v>3060</v>
      </c>
      <c r="CC17" s="17"/>
      <c r="CD17" s="17">
        <v>255</v>
      </c>
      <c r="CE17" s="17"/>
      <c r="CF17" s="17">
        <v>0</v>
      </c>
      <c r="CG17" s="17"/>
      <c r="CH17" s="17">
        <v>0</v>
      </c>
      <c r="CI17" s="17">
        <v>0</v>
      </c>
      <c r="CJ17" s="17"/>
      <c r="CK17" t="e">
        <f>SQRT(((2*[1]Sheet1!$G$24/2*BC17)/[1]Sheet1!$N$30*((1-([1]Sheet2!$BQ$879*[1]Sheet2!$BQ$881))*[1]Sheet2!$BQ$885/([1]Sheet2!$BQ$882*[1]Sheet2!$BQ$881))*60*29.37))</f>
        <v>#DIV/0!</v>
      </c>
      <c r="CM17" s="430">
        <v>0</v>
      </c>
      <c r="CN17" s="431">
        <v>4599786</v>
      </c>
      <c r="CO17" s="686">
        <v>0</v>
      </c>
      <c r="CP17" s="433">
        <v>0</v>
      </c>
      <c r="CQ17" t="e">
        <f t="shared" si="0"/>
        <v>#DIV/0!</v>
      </c>
      <c r="CR17" t="e">
        <f>((([1]Sheet1!$N$29/CH17)-1)*LN(CK17/([1]Sheet1!$G$24/2)))</f>
        <v>#DIV/0!</v>
      </c>
    </row>
    <row r="18" spans="1:96" ht="15" x14ac:dyDescent="0.25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 t="s">
        <v>359</v>
      </c>
      <c r="N18" s="17" t="s">
        <v>360</v>
      </c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400">
        <v>276.41536201736</v>
      </c>
      <c r="AW18" s="17">
        <v>67.130504894914395</v>
      </c>
      <c r="AX18" s="17"/>
      <c r="AY18" s="17">
        <v>0</v>
      </c>
      <c r="AZ18" s="17">
        <v>0</v>
      </c>
      <c r="BA18" s="17"/>
      <c r="BB18" s="101">
        <v>5.9275867200864303</v>
      </c>
      <c r="BC18" s="17">
        <v>35</v>
      </c>
      <c r="BD18" s="102">
        <v>0</v>
      </c>
      <c r="BE18" s="9">
        <v>0</v>
      </c>
      <c r="BF18" s="9">
        <v>0</v>
      </c>
      <c r="BG18" s="17">
        <v>0</v>
      </c>
      <c r="BH18" s="17">
        <v>0</v>
      </c>
      <c r="BI18" s="17">
        <v>0</v>
      </c>
      <c r="BJ18" s="17">
        <v>0</v>
      </c>
      <c r="BK18" s="17">
        <v>0</v>
      </c>
      <c r="BL18" s="17">
        <v>0</v>
      </c>
      <c r="BM18" s="17">
        <v>0</v>
      </c>
      <c r="BN18" s="17"/>
      <c r="BO18" s="17"/>
      <c r="BP18" s="17"/>
      <c r="BQ18" s="17"/>
      <c r="BR18" s="17">
        <v>9.7482684472702097</v>
      </c>
      <c r="BS18" s="17"/>
      <c r="BT18" s="17">
        <v>0</v>
      </c>
      <c r="BU18" s="17"/>
      <c r="BV18" s="17"/>
      <c r="BW18" s="17">
        <v>5.9275867200864303</v>
      </c>
      <c r="BX18" s="17"/>
      <c r="BY18" s="17">
        <v>8.0110794925819206</v>
      </c>
      <c r="BZ18" s="17">
        <v>73.796411463335303</v>
      </c>
      <c r="CA18" s="17"/>
      <c r="CB18" s="17">
        <v>2970</v>
      </c>
      <c r="CC18" s="17"/>
      <c r="CD18" s="17">
        <v>247.5</v>
      </c>
      <c r="CE18" s="17"/>
      <c r="CF18" s="17">
        <v>0</v>
      </c>
      <c r="CG18" s="17"/>
      <c r="CH18" s="17">
        <v>0</v>
      </c>
      <c r="CI18" s="17">
        <v>0</v>
      </c>
      <c r="CJ18" s="17"/>
      <c r="CK18" t="e">
        <f>SQRT(((2*[1]Sheet1!$G$24/2*BC18)/[1]Sheet1!$N$30*((1-([1]Sheet2!$BQ$879*[1]Sheet2!$BQ$881))*[1]Sheet2!$BQ$885/([1]Sheet2!$BQ$882*[1]Sheet2!$BQ$881))*60*29.37))</f>
        <v>#DIV/0!</v>
      </c>
      <c r="CM18" s="430">
        <v>0</v>
      </c>
      <c r="CN18" s="431">
        <v>4599786</v>
      </c>
      <c r="CO18" s="686">
        <v>0</v>
      </c>
      <c r="CP18" s="433">
        <v>0</v>
      </c>
      <c r="CQ18" t="e">
        <f t="shared" si="0"/>
        <v>#DIV/0!</v>
      </c>
      <c r="CR18" t="e">
        <f>((([1]Sheet1!$N$29/CH18)-1)*LN(CK18/([1]Sheet1!$G$24/2)))</f>
        <v>#DIV/0!</v>
      </c>
    </row>
    <row r="19" spans="1:96" ht="15" x14ac:dyDescent="0.25">
      <c r="A19" s="17"/>
      <c r="B19" s="17"/>
      <c r="C19" s="17"/>
      <c r="D19" s="17"/>
      <c r="E19" s="17"/>
      <c r="F19" s="17"/>
      <c r="G19" s="719">
        <v>754</v>
      </c>
      <c r="H19" s="720"/>
      <c r="I19" s="720"/>
      <c r="J19" s="720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400">
        <v>283.91915125653702</v>
      </c>
      <c r="AW19" s="17">
        <v>59.6267156557373</v>
      </c>
      <c r="AX19" s="17"/>
      <c r="AY19" s="17">
        <v>0</v>
      </c>
      <c r="AZ19" s="17">
        <v>0</v>
      </c>
      <c r="BA19" s="17"/>
      <c r="BB19" s="101">
        <v>6.92524254044526</v>
      </c>
      <c r="BC19" s="17">
        <v>45</v>
      </c>
      <c r="BD19" s="102">
        <v>0</v>
      </c>
      <c r="BE19" s="9">
        <v>0</v>
      </c>
      <c r="BF19" s="9">
        <v>0</v>
      </c>
      <c r="BG19" s="17">
        <v>0</v>
      </c>
      <c r="BH19" s="17">
        <v>0</v>
      </c>
      <c r="BI19" s="17">
        <v>0</v>
      </c>
      <c r="BJ19" s="17">
        <v>0</v>
      </c>
      <c r="BK19" s="17">
        <v>0</v>
      </c>
      <c r="BL19" s="17">
        <v>0</v>
      </c>
      <c r="BM19" s="17">
        <v>0</v>
      </c>
      <c r="BN19" s="17"/>
      <c r="BO19" s="17"/>
      <c r="BP19" s="17"/>
      <c r="BQ19" s="17"/>
      <c r="BR19" s="17">
        <v>10.9365614828715</v>
      </c>
      <c r="BS19" s="17"/>
      <c r="BT19" s="17">
        <v>0</v>
      </c>
      <c r="BU19" s="17"/>
      <c r="BV19" s="17"/>
      <c r="BW19" s="17">
        <v>6.92524254044526</v>
      </c>
      <c r="BX19" s="17"/>
      <c r="BY19" s="17">
        <v>9.0837103159462593</v>
      </c>
      <c r="BZ19" s="17">
        <v>72.669682527570103</v>
      </c>
      <c r="CA19" s="17"/>
      <c r="CB19" s="17">
        <v>2880</v>
      </c>
      <c r="CC19" s="17"/>
      <c r="CD19" s="17">
        <v>240</v>
      </c>
      <c r="CE19" s="17"/>
      <c r="CF19" s="17">
        <v>0</v>
      </c>
      <c r="CG19" s="17"/>
      <c r="CH19" s="17">
        <v>0</v>
      </c>
      <c r="CI19" s="17">
        <v>0</v>
      </c>
      <c r="CJ19" s="17"/>
      <c r="CK19" t="e">
        <f>SQRT(((2*[1]Sheet1!$G$24/2*BC19)/[1]Sheet1!$N$30*((1-([1]Sheet2!$BQ$879*[1]Sheet2!$BQ$881))*[1]Sheet2!$BQ$885/([1]Sheet2!$BQ$882*[1]Sheet2!$BQ$881))*60*29.37))</f>
        <v>#DIV/0!</v>
      </c>
      <c r="CM19" s="430">
        <v>0</v>
      </c>
      <c r="CN19" s="431">
        <v>4599786</v>
      </c>
      <c r="CO19" s="686">
        <v>0</v>
      </c>
      <c r="CP19" s="433">
        <v>0</v>
      </c>
      <c r="CQ19" t="e">
        <f t="shared" si="0"/>
        <v>#DIV/0!</v>
      </c>
      <c r="CR19" t="e">
        <f>((([1]Sheet1!$N$29/CH19)-1)*LN(CK19/([1]Sheet1!$G$24/2)))</f>
        <v>#DIV/0!</v>
      </c>
    </row>
    <row r="20" spans="1:96" ht="15" x14ac:dyDescent="0.25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400">
        <v>289.36357169425401</v>
      </c>
      <c r="AW20" s="17">
        <v>54.182295218020101</v>
      </c>
      <c r="AX20" s="17"/>
      <c r="AY20" s="17">
        <v>0</v>
      </c>
      <c r="AZ20" s="17">
        <v>0</v>
      </c>
      <c r="BA20" s="17"/>
      <c r="BB20" s="101">
        <v>7.8220811240315502</v>
      </c>
      <c r="BC20" s="17">
        <v>55</v>
      </c>
      <c r="BD20" s="102">
        <v>0</v>
      </c>
      <c r="BE20" s="9">
        <v>0</v>
      </c>
      <c r="BF20" s="9">
        <v>0</v>
      </c>
      <c r="BG20" s="17">
        <v>0</v>
      </c>
      <c r="BH20" s="17">
        <v>0</v>
      </c>
      <c r="BI20" s="17">
        <v>0</v>
      </c>
      <c r="BJ20" s="17">
        <v>0</v>
      </c>
      <c r="BK20" s="17">
        <v>0</v>
      </c>
      <c r="BL20" s="17">
        <v>0</v>
      </c>
      <c r="BM20" s="17">
        <v>0</v>
      </c>
      <c r="BN20" s="17"/>
      <c r="BO20" s="17"/>
      <c r="BP20" s="17"/>
      <c r="BQ20" s="17"/>
      <c r="BR20" s="17">
        <v>12.007831461892399</v>
      </c>
      <c r="BS20" s="17"/>
      <c r="BT20" s="17">
        <v>0</v>
      </c>
      <c r="BU20" s="17"/>
      <c r="BV20" s="17"/>
      <c r="BW20" s="17">
        <v>7.8220811240315502</v>
      </c>
      <c r="BX20" s="17"/>
      <c r="BY20" s="17">
        <v>10.042419607424801</v>
      </c>
      <c r="BZ20" s="17">
        <v>71.525206553003201</v>
      </c>
      <c r="CA20" s="17"/>
      <c r="CB20" s="17">
        <v>2790</v>
      </c>
      <c r="CC20" s="17"/>
      <c r="CD20" s="17">
        <v>232.5</v>
      </c>
      <c r="CE20" s="17"/>
      <c r="CF20" s="17">
        <v>0</v>
      </c>
      <c r="CG20" s="17"/>
      <c r="CH20" s="17">
        <v>0</v>
      </c>
      <c r="CI20" s="17">
        <v>0</v>
      </c>
      <c r="CJ20" s="17"/>
      <c r="CK20" t="e">
        <f>SQRT(((2*[1]Sheet1!$G$24/2*BC20)/[1]Sheet1!$N$30*((1-([1]Sheet2!$BQ$879*[1]Sheet2!$BQ$881))*[1]Sheet2!$BQ$885/([1]Sheet2!$BQ$882*[1]Sheet2!$BQ$881))*60*29.37))</f>
        <v>#DIV/0!</v>
      </c>
      <c r="CM20" s="430">
        <v>0</v>
      </c>
      <c r="CN20" s="431">
        <v>4599786</v>
      </c>
      <c r="CO20" s="686">
        <v>0</v>
      </c>
      <c r="CP20" s="433">
        <v>0</v>
      </c>
      <c r="CQ20" t="e">
        <f t="shared" si="0"/>
        <v>#DIV/0!</v>
      </c>
      <c r="CR20" t="e">
        <f>((([1]Sheet1!$N$29/CH20)-1)*LN(CK20/([1]Sheet1!$G$24/2)))</f>
        <v>#DIV/0!</v>
      </c>
    </row>
    <row r="21" spans="1:96" ht="15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400">
        <v>293.54567835614</v>
      </c>
      <c r="AW21" s="17">
        <v>50.000188556134802</v>
      </c>
      <c r="AX21" s="17"/>
      <c r="AY21" s="17">
        <v>0</v>
      </c>
      <c r="AZ21" s="17">
        <v>0</v>
      </c>
      <c r="BA21" s="17"/>
      <c r="BB21" s="101">
        <v>8.6436178439635807</v>
      </c>
      <c r="BC21" s="17">
        <v>65</v>
      </c>
      <c r="BD21" s="102">
        <v>0</v>
      </c>
      <c r="BE21" s="9">
        <v>0</v>
      </c>
      <c r="BF21" s="9">
        <v>0</v>
      </c>
      <c r="BG21" s="17">
        <v>0</v>
      </c>
      <c r="BH21" s="17">
        <v>0</v>
      </c>
      <c r="BI21" s="17">
        <v>0</v>
      </c>
      <c r="BJ21" s="17">
        <v>0</v>
      </c>
      <c r="BK21" s="17">
        <v>0</v>
      </c>
      <c r="BL21" s="17">
        <v>0</v>
      </c>
      <c r="BM21" s="17">
        <v>0</v>
      </c>
      <c r="BN21" s="17"/>
      <c r="BO21" s="17"/>
      <c r="BP21" s="17"/>
      <c r="BQ21" s="17"/>
      <c r="BR21" s="17">
        <v>12.9910606097345</v>
      </c>
      <c r="BS21" s="17"/>
      <c r="BT21" s="17">
        <v>0</v>
      </c>
      <c r="BU21" s="17"/>
      <c r="BV21" s="17"/>
      <c r="BW21" s="17">
        <v>8.6436178439635807</v>
      </c>
      <c r="BX21" s="17"/>
      <c r="BY21" s="17">
        <v>10.917261105201799</v>
      </c>
      <c r="BZ21" s="17">
        <v>70.362117550864795</v>
      </c>
      <c r="CA21" s="17"/>
      <c r="CB21" s="17">
        <v>2700</v>
      </c>
      <c r="CC21" s="17"/>
      <c r="CD21" s="17">
        <v>225</v>
      </c>
      <c r="CE21" s="17"/>
      <c r="CF21" s="17">
        <v>0</v>
      </c>
      <c r="CG21" s="17"/>
      <c r="CH21" s="17">
        <v>0</v>
      </c>
      <c r="CI21" s="17">
        <v>0</v>
      </c>
      <c r="CJ21" s="17"/>
      <c r="CK21" t="e">
        <f>SQRT(((2*[1]Sheet1!$G$24/2*BC21)/[1]Sheet1!$N$30*((1-([1]Sheet2!$BQ$879*[1]Sheet2!$BQ$881))*[1]Sheet2!$BQ$885/([1]Sheet2!$BQ$882*[1]Sheet2!$BQ$881))*60*29.37))</f>
        <v>#DIV/0!</v>
      </c>
      <c r="CM21" s="430">
        <v>0</v>
      </c>
      <c r="CN21" s="431">
        <v>4599786</v>
      </c>
      <c r="CO21" s="686">
        <v>0</v>
      </c>
      <c r="CP21" s="433">
        <v>0</v>
      </c>
      <c r="CQ21" t="e">
        <f t="shared" si="0"/>
        <v>#DIV/0!</v>
      </c>
      <c r="CR21" t="e">
        <f>((([1]Sheet1!$N$29/CH21)-1)*LN(CK21/([1]Sheet1!$G$24/2)))</f>
        <v>#DIV/0!</v>
      </c>
    </row>
    <row r="22" spans="1:96" ht="15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720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400">
        <v>296.88826712095801</v>
      </c>
      <c r="AW22" s="17">
        <v>46.657599791316102</v>
      </c>
      <c r="AX22" s="17"/>
      <c r="AY22" s="17">
        <v>0</v>
      </c>
      <c r="AZ22" s="17">
        <v>0</v>
      </c>
      <c r="BA22" s="17"/>
      <c r="BB22" s="101">
        <v>9.4061353669690799</v>
      </c>
      <c r="BC22" s="17">
        <v>75</v>
      </c>
      <c r="BD22" s="102">
        <v>0</v>
      </c>
      <c r="BE22" s="9">
        <v>0</v>
      </c>
      <c r="BF22" s="9">
        <v>0</v>
      </c>
      <c r="BG22" s="17">
        <v>0</v>
      </c>
      <c r="BH22" s="17">
        <v>0</v>
      </c>
      <c r="BI22" s="17">
        <v>0</v>
      </c>
      <c r="BJ22" s="17">
        <v>0</v>
      </c>
      <c r="BK22" s="17">
        <v>0</v>
      </c>
      <c r="BL22" s="17">
        <v>0</v>
      </c>
      <c r="BM22" s="17">
        <v>0</v>
      </c>
      <c r="BN22" s="17"/>
      <c r="BO22" s="17"/>
      <c r="BP22" s="17"/>
      <c r="BQ22" s="17"/>
      <c r="BR22" s="17">
        <v>13.904937796134901</v>
      </c>
      <c r="BS22" s="17"/>
      <c r="BT22" s="17">
        <v>0</v>
      </c>
      <c r="BU22" s="17"/>
      <c r="BV22" s="17"/>
      <c r="BW22" s="17">
        <v>9.4061353669690799</v>
      </c>
      <c r="BX22" s="17"/>
      <c r="BY22" s="17">
        <v>11.7270195918108</v>
      </c>
      <c r="BZ22" s="17">
        <v>69.179476725642104</v>
      </c>
      <c r="CA22" s="17"/>
      <c r="CB22" s="17">
        <v>2610</v>
      </c>
      <c r="CC22" s="17"/>
      <c r="CD22" s="17">
        <v>217.5</v>
      </c>
      <c r="CE22" s="17"/>
      <c r="CF22" s="17">
        <v>0</v>
      </c>
      <c r="CG22" s="17"/>
      <c r="CH22" s="17">
        <v>0</v>
      </c>
      <c r="CI22" s="17">
        <v>0</v>
      </c>
      <c r="CJ22" s="17"/>
      <c r="CK22" t="e">
        <f>SQRT(((2*[1]Sheet1!$G$24/2*BC22)/[1]Sheet1!$N$30*((1-([1]Sheet2!$BQ$879*[1]Sheet2!$BQ$881))*[1]Sheet2!$BQ$885/([1]Sheet2!$BQ$882*[1]Sheet2!$BQ$881))*60*29.37))</f>
        <v>#DIV/0!</v>
      </c>
      <c r="CM22" s="430">
        <v>0</v>
      </c>
      <c r="CN22" s="431">
        <v>4599786</v>
      </c>
      <c r="CO22" s="686">
        <v>0</v>
      </c>
      <c r="CP22" s="433">
        <v>0</v>
      </c>
      <c r="CQ22" t="e">
        <f t="shared" si="0"/>
        <v>#DIV/0!</v>
      </c>
      <c r="CR22" t="e">
        <f>((([1]Sheet1!$N$29/CH22)-1)*LN(CK22/([1]Sheet1!$G$24/2)))</f>
        <v>#DIV/0!</v>
      </c>
    </row>
    <row r="23" spans="1:96" ht="18.75" x14ac:dyDescent="0.3">
      <c r="A23" s="721" t="s">
        <v>4</v>
      </c>
      <c r="B23" s="722"/>
      <c r="C23" s="723"/>
      <c r="D23" s="17"/>
      <c r="E23" s="17"/>
      <c r="F23" s="456" t="s">
        <v>87</v>
      </c>
      <c r="G23" s="457"/>
      <c r="H23" s="458"/>
      <c r="I23" s="17"/>
      <c r="J23" s="17"/>
      <c r="K23" s="17"/>
      <c r="L23" s="419" t="s">
        <v>91</v>
      </c>
      <c r="M23" s="724"/>
      <c r="N23" s="458"/>
      <c r="O23" s="458"/>
      <c r="P23" s="17"/>
      <c r="Q23" s="491" t="s">
        <v>106</v>
      </c>
      <c r="R23" s="492"/>
      <c r="S23" s="492"/>
      <c r="T23" s="112"/>
      <c r="U23" s="9"/>
      <c r="V23" s="17"/>
      <c r="W23" s="17"/>
      <c r="X23" s="17"/>
      <c r="Y23" s="421" t="s">
        <v>128</v>
      </c>
      <c r="Z23" s="422"/>
      <c r="AA23" s="477"/>
      <c r="AB23" s="17"/>
      <c r="AC23" s="725" t="s">
        <v>134</v>
      </c>
      <c r="AD23" s="726"/>
      <c r="AE23" s="726"/>
      <c r="AF23" s="727"/>
      <c r="AG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400">
        <v>299.63920340772398</v>
      </c>
      <c r="AW23" s="17">
        <v>43.9066635045507</v>
      </c>
      <c r="AX23" s="17"/>
      <c r="AY23" s="17">
        <v>0</v>
      </c>
      <c r="AZ23" s="17">
        <v>0</v>
      </c>
      <c r="BA23" s="17"/>
      <c r="BB23" s="101">
        <v>10.120777500263999</v>
      </c>
      <c r="BC23" s="17">
        <v>85</v>
      </c>
      <c r="BD23" s="102">
        <v>0</v>
      </c>
      <c r="BE23" s="9">
        <v>0</v>
      </c>
      <c r="BF23" s="9">
        <v>0</v>
      </c>
      <c r="BG23" s="17">
        <v>0</v>
      </c>
      <c r="BH23" s="17">
        <v>0</v>
      </c>
      <c r="BI23" s="17">
        <v>0</v>
      </c>
      <c r="BJ23" s="17">
        <v>0</v>
      </c>
      <c r="BK23" s="17">
        <v>0</v>
      </c>
      <c r="BL23" s="17">
        <v>0</v>
      </c>
      <c r="BM23" s="17">
        <v>0</v>
      </c>
      <c r="BN23" s="17"/>
      <c r="BO23" s="17"/>
      <c r="BP23" s="17"/>
      <c r="BQ23" s="17"/>
      <c r="BR23" s="17">
        <v>14.7623485415758</v>
      </c>
      <c r="BS23" s="17"/>
      <c r="BT23" s="17">
        <v>0</v>
      </c>
      <c r="BU23" s="17"/>
      <c r="BV23" s="17"/>
      <c r="BW23" s="17">
        <v>10.120777500263999</v>
      </c>
      <c r="BX23" s="17"/>
      <c r="BY23" s="17">
        <v>12.4843657017197</v>
      </c>
      <c r="BZ23" s="17">
        <v>67.976263605949995</v>
      </c>
      <c r="CA23" s="17"/>
      <c r="CB23" s="17">
        <v>2520</v>
      </c>
      <c r="CC23" s="17"/>
      <c r="CD23" s="17">
        <v>210</v>
      </c>
      <c r="CE23" s="17"/>
      <c r="CF23" s="17">
        <v>0</v>
      </c>
      <c r="CG23" s="17"/>
      <c r="CH23" s="17">
        <v>0</v>
      </c>
      <c r="CI23" s="17">
        <v>0</v>
      </c>
      <c r="CJ23" s="17"/>
      <c r="CK23" t="e">
        <f>SQRT(((2*[1]Sheet1!$G$24/2*BC23)/[1]Sheet1!$N$30*((1-([1]Sheet2!$BQ$879*[1]Sheet2!$BQ$881))*[1]Sheet2!$BQ$885/([1]Sheet2!$BQ$882*[1]Sheet2!$BQ$881))*60*29.37))</f>
        <v>#DIV/0!</v>
      </c>
      <c r="CM23" s="430">
        <v>0</v>
      </c>
      <c r="CN23" s="431">
        <v>4599786</v>
      </c>
      <c r="CO23" s="686">
        <v>0</v>
      </c>
      <c r="CP23" s="433">
        <v>0</v>
      </c>
      <c r="CQ23" t="e">
        <f t="shared" si="0"/>
        <v>#DIV/0!</v>
      </c>
      <c r="CR23" t="e">
        <f>((([1]Sheet1!$N$29/CH23)-1)*LN(CK23/([1]Sheet1!$G$24/2)))</f>
        <v>#DIV/0!</v>
      </c>
    </row>
    <row r="24" spans="1:96" ht="18.75" x14ac:dyDescent="0.3">
      <c r="A24" s="107" t="s">
        <v>6</v>
      </c>
      <c r="B24" s="728">
        <v>6</v>
      </c>
      <c r="C24" s="729" t="s">
        <v>7</v>
      </c>
      <c r="D24" s="17"/>
      <c r="E24" s="17"/>
      <c r="F24" s="730" t="s">
        <v>88</v>
      </c>
      <c r="G24" s="731">
        <v>6</v>
      </c>
      <c r="H24" s="732" t="s">
        <v>229</v>
      </c>
      <c r="I24" s="17">
        <v>0</v>
      </c>
      <c r="J24" s="17"/>
      <c r="K24" s="17"/>
      <c r="L24" s="733" t="s">
        <v>224</v>
      </c>
      <c r="M24" s="734"/>
      <c r="N24" s="735">
        <v>0</v>
      </c>
      <c r="O24" s="736"/>
      <c r="P24" s="17"/>
      <c r="Q24" s="737" t="s">
        <v>107</v>
      </c>
      <c r="R24" s="738"/>
      <c r="S24" s="739">
        <v>10.199999999999999</v>
      </c>
      <c r="T24" s="278"/>
      <c r="U24" s="17"/>
      <c r="V24" s="17"/>
      <c r="W24" s="17"/>
      <c r="X24" s="17"/>
      <c r="Y24" s="740" t="s">
        <v>129</v>
      </c>
      <c r="Z24" s="741"/>
      <c r="AA24" s="742"/>
      <c r="AB24" s="17"/>
      <c r="AC24" s="743" t="s">
        <v>135</v>
      </c>
      <c r="AD24" s="744"/>
      <c r="AE24" s="745">
        <v>60</v>
      </c>
      <c r="AF24" s="746" t="s">
        <v>232</v>
      </c>
      <c r="AG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400">
        <v>301.95467823546898</v>
      </c>
      <c r="AW24" s="17">
        <v>41.5911886768058</v>
      </c>
      <c r="AX24" s="17"/>
      <c r="AY24" s="17">
        <v>0</v>
      </c>
      <c r="AZ24" s="17">
        <v>0</v>
      </c>
      <c r="BA24" s="17"/>
      <c r="BB24" s="101">
        <v>10.795568389571001</v>
      </c>
      <c r="BC24" s="17">
        <v>95</v>
      </c>
      <c r="BD24" s="102">
        <v>0</v>
      </c>
      <c r="BE24" s="9">
        <v>0</v>
      </c>
      <c r="BF24" s="9">
        <v>0</v>
      </c>
      <c r="BG24" s="17">
        <v>0</v>
      </c>
      <c r="BH24" s="17">
        <v>0</v>
      </c>
      <c r="BI24" s="17">
        <v>0</v>
      </c>
      <c r="BJ24" s="17">
        <v>0</v>
      </c>
      <c r="BK24" s="17">
        <v>0</v>
      </c>
      <c r="BL24" s="17">
        <v>0</v>
      </c>
      <c r="BM24" s="17">
        <v>0</v>
      </c>
      <c r="BN24" s="17"/>
      <c r="BO24" s="17"/>
      <c r="BP24" s="17"/>
      <c r="BQ24" s="17"/>
      <c r="BR24" s="17">
        <v>15.572622573335201</v>
      </c>
      <c r="BS24" s="17"/>
      <c r="BT24" s="17">
        <v>0</v>
      </c>
      <c r="BU24" s="17"/>
      <c r="BV24" s="17"/>
      <c r="BW24" s="17">
        <v>10.795568389571001</v>
      </c>
      <c r="BX24" s="17"/>
      <c r="BY24" s="17">
        <v>13.1983250998692</v>
      </c>
      <c r="BZ24" s="17">
        <v>66.7513657359723</v>
      </c>
      <c r="CA24" s="17"/>
      <c r="CB24" s="17">
        <v>2430</v>
      </c>
      <c r="CC24" s="17"/>
      <c r="CD24" s="17">
        <v>202.5</v>
      </c>
      <c r="CE24" s="17"/>
      <c r="CF24" s="17">
        <v>0</v>
      </c>
      <c r="CG24" s="17"/>
      <c r="CH24" s="17">
        <v>0</v>
      </c>
      <c r="CI24" s="17">
        <v>0</v>
      </c>
      <c r="CJ24" s="17"/>
      <c r="CK24" t="e">
        <f>SQRT(((2*[1]Sheet1!$G$24/2*BC24)/[1]Sheet1!$N$30*((1-([1]Sheet2!$BQ$879*[1]Sheet2!$BQ$881))*[1]Sheet2!$BQ$885/([1]Sheet2!$BQ$882*[1]Sheet2!$BQ$881))*60*29.37))</f>
        <v>#DIV/0!</v>
      </c>
      <c r="CM24" s="430">
        <v>0</v>
      </c>
      <c r="CN24" s="431">
        <v>4599786</v>
      </c>
      <c r="CO24" s="686">
        <v>0</v>
      </c>
      <c r="CP24" s="433">
        <v>0</v>
      </c>
      <c r="CQ24" t="e">
        <f t="shared" si="0"/>
        <v>#DIV/0!</v>
      </c>
      <c r="CR24" t="e">
        <f>((([1]Sheet1!$N$29/CH24)-1)*LN(CK24/([1]Sheet1!$G$24/2)))</f>
        <v>#DIV/0!</v>
      </c>
    </row>
    <row r="25" spans="1:96" ht="18.75" x14ac:dyDescent="0.3">
      <c r="A25" s="482" t="s">
        <v>16</v>
      </c>
      <c r="B25" s="484">
        <v>14500</v>
      </c>
      <c r="C25" s="485" t="s">
        <v>42</v>
      </c>
      <c r="D25" s="17">
        <v>0</v>
      </c>
      <c r="E25" s="17"/>
      <c r="F25" s="747" t="s">
        <v>230</v>
      </c>
      <c r="G25" s="748">
        <v>3</v>
      </c>
      <c r="H25" s="749" t="s">
        <v>46</v>
      </c>
      <c r="I25" s="17"/>
      <c r="J25" s="17"/>
      <c r="K25" s="17"/>
      <c r="L25" s="750" t="s">
        <v>92</v>
      </c>
      <c r="M25" s="734"/>
      <c r="N25" s="751">
        <v>270</v>
      </c>
      <c r="O25" s="752" t="s">
        <v>228</v>
      </c>
      <c r="P25" s="17"/>
      <c r="Q25" s="753" t="s">
        <v>108</v>
      </c>
      <c r="R25" s="753"/>
      <c r="S25" s="754">
        <v>12</v>
      </c>
      <c r="T25" s="48" t="s">
        <v>109</v>
      </c>
      <c r="U25" s="17">
        <v>20.16</v>
      </c>
      <c r="V25" s="401">
        <v>2.4</v>
      </c>
      <c r="W25" s="17"/>
      <c r="X25" s="17"/>
      <c r="Y25" s="755" t="s">
        <v>8</v>
      </c>
      <c r="Z25" s="740" t="s">
        <v>361</v>
      </c>
      <c r="AA25" s="756"/>
      <c r="AB25" s="17"/>
      <c r="AC25" s="757" t="s">
        <v>136</v>
      </c>
      <c r="AD25" s="753"/>
      <c r="AE25" s="745">
        <v>38</v>
      </c>
      <c r="AF25" s="758" t="s">
        <v>232</v>
      </c>
      <c r="AG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400">
        <v>303.938650262377</v>
      </c>
      <c r="AW25" s="17">
        <v>39.607216649896998</v>
      </c>
      <c r="AX25" s="17"/>
      <c r="AY25" s="17">
        <v>0</v>
      </c>
      <c r="AZ25" s="17">
        <v>0</v>
      </c>
      <c r="BA25" s="17"/>
      <c r="BB25" s="101">
        <v>11.436513447076701</v>
      </c>
      <c r="BC25" s="17">
        <v>105</v>
      </c>
      <c r="BD25" s="102">
        <v>0</v>
      </c>
      <c r="BE25" s="9">
        <v>0</v>
      </c>
      <c r="BF25" s="9">
        <v>0</v>
      </c>
      <c r="BG25" s="17">
        <v>0</v>
      </c>
      <c r="BH25" s="17">
        <v>0</v>
      </c>
      <c r="BI25" s="17">
        <v>0</v>
      </c>
      <c r="BJ25" s="17">
        <v>0</v>
      </c>
      <c r="BK25" s="17">
        <v>0</v>
      </c>
      <c r="BL25" s="17">
        <v>0</v>
      </c>
      <c r="BM25" s="17">
        <v>0</v>
      </c>
      <c r="BN25" s="17"/>
      <c r="BO25" s="17"/>
      <c r="BP25" s="17"/>
      <c r="BQ25" s="17"/>
      <c r="BR25" s="17">
        <v>16.342772505304399</v>
      </c>
      <c r="BS25" s="17"/>
      <c r="BT25" s="17">
        <v>0</v>
      </c>
      <c r="BU25" s="17"/>
      <c r="BV25" s="17"/>
      <c r="BW25" s="17">
        <v>11.436513447076701</v>
      </c>
      <c r="BX25" s="17"/>
      <c r="BY25" s="17">
        <v>13.875596704625</v>
      </c>
      <c r="BZ25" s="17">
        <v>65.503566631210902</v>
      </c>
      <c r="CA25" s="17"/>
      <c r="CB25" s="17">
        <v>2340</v>
      </c>
      <c r="CC25" s="17"/>
      <c r="CD25" s="17">
        <v>195</v>
      </c>
      <c r="CE25" s="17"/>
      <c r="CF25" s="17">
        <v>0</v>
      </c>
      <c r="CG25" s="17"/>
      <c r="CH25" s="17">
        <v>0</v>
      </c>
      <c r="CI25" s="17">
        <v>0</v>
      </c>
      <c r="CJ25" s="17"/>
      <c r="CK25" t="e">
        <f>SQRT(((2*[1]Sheet1!$G$24/2*BC25)/[1]Sheet1!$N$30*((1-([1]Sheet2!$BQ$879*[1]Sheet2!$BQ$881))*[1]Sheet2!$BQ$885/([1]Sheet2!$BQ$882*[1]Sheet2!$BQ$881))*60*29.37))</f>
        <v>#DIV/0!</v>
      </c>
      <c r="CM25" s="430">
        <v>0</v>
      </c>
      <c r="CN25" s="431">
        <v>4599786</v>
      </c>
      <c r="CO25" s="686">
        <v>0</v>
      </c>
      <c r="CP25" s="433">
        <v>0</v>
      </c>
      <c r="CQ25" t="e">
        <f t="shared" si="0"/>
        <v>#DIV/0!</v>
      </c>
      <c r="CR25" t="e">
        <f>((([1]Sheet1!$N$29/CH25)-1)*LN(CK25/([1]Sheet1!$G$24/2)))</f>
        <v>#DIV/0!</v>
      </c>
    </row>
    <row r="26" spans="1:96" ht="18.75" x14ac:dyDescent="0.3">
      <c r="A26" s="84" t="s">
        <v>18</v>
      </c>
      <c r="B26" s="759">
        <v>14520</v>
      </c>
      <c r="C26" s="760" t="s">
        <v>42</v>
      </c>
      <c r="D26" s="17"/>
      <c r="E26" s="17"/>
      <c r="F26" s="465" t="s">
        <v>231</v>
      </c>
      <c r="G26" s="466">
        <v>0</v>
      </c>
      <c r="H26" s="761" t="s">
        <v>46</v>
      </c>
      <c r="I26" s="17"/>
      <c r="J26" s="17"/>
      <c r="K26" s="17"/>
      <c r="L26" s="17"/>
      <c r="M26" s="17"/>
      <c r="N26" s="527">
        <v>0.96</v>
      </c>
      <c r="O26" s="17"/>
      <c r="P26" s="17"/>
      <c r="Q26" s="753" t="s">
        <v>110</v>
      </c>
      <c r="R26" s="753"/>
      <c r="S26" s="754">
        <v>3.6</v>
      </c>
      <c r="T26" s="48" t="s">
        <v>362</v>
      </c>
      <c r="U26" s="17">
        <v>17.64</v>
      </c>
      <c r="V26" s="402">
        <v>2.1</v>
      </c>
      <c r="W26" s="17"/>
      <c r="X26" s="17"/>
      <c r="Y26" s="762">
        <v>600</v>
      </c>
      <c r="Z26" s="763">
        <v>59</v>
      </c>
      <c r="AA26" s="742"/>
      <c r="AB26" s="17">
        <v>0</v>
      </c>
      <c r="AC26" s="757" t="s">
        <v>137</v>
      </c>
      <c r="AD26" s="764"/>
      <c r="AE26" s="765">
        <v>0</v>
      </c>
      <c r="AF26" s="758" t="s">
        <v>22</v>
      </c>
      <c r="AG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400">
        <v>305.66335135959002</v>
      </c>
      <c r="AW26" s="17">
        <v>37.882515552684097</v>
      </c>
      <c r="AX26" s="17"/>
      <c r="AY26" s="17">
        <v>0</v>
      </c>
      <c r="AZ26" s="17">
        <v>0</v>
      </c>
      <c r="BA26" s="17"/>
      <c r="BB26" s="101">
        <v>12.048246040511801</v>
      </c>
      <c r="BC26" s="17">
        <v>115</v>
      </c>
      <c r="BD26" s="102">
        <v>0</v>
      </c>
      <c r="BE26" s="9">
        <v>0</v>
      </c>
      <c r="BF26" s="9">
        <v>0</v>
      </c>
      <c r="BG26" s="17">
        <v>0</v>
      </c>
      <c r="BH26" s="17">
        <v>0</v>
      </c>
      <c r="BI26" s="17">
        <v>0</v>
      </c>
      <c r="BJ26" s="17">
        <v>0</v>
      </c>
      <c r="BK26" s="17">
        <v>0</v>
      </c>
      <c r="BL26" s="17">
        <v>0</v>
      </c>
      <c r="BM26" s="17">
        <v>0</v>
      </c>
      <c r="BN26" s="17"/>
      <c r="BO26" s="17"/>
      <c r="BP26" s="17"/>
      <c r="BQ26" s="17"/>
      <c r="BR26" s="17">
        <v>17.078227440478599</v>
      </c>
      <c r="BS26" s="17"/>
      <c r="BT26" s="17">
        <v>0</v>
      </c>
      <c r="BU26" s="17"/>
      <c r="BV26" s="17"/>
      <c r="BW26" s="17">
        <v>12.048246040511801</v>
      </c>
      <c r="BX26" s="17"/>
      <c r="BY26" s="17">
        <v>14.521314760618701</v>
      </c>
      <c r="BZ26" s="17">
        <v>64.231531627397999</v>
      </c>
      <c r="CA26" s="17"/>
      <c r="CB26" s="17">
        <v>2250</v>
      </c>
      <c r="CC26" s="17"/>
      <c r="CD26" s="17">
        <v>187.5</v>
      </c>
      <c r="CE26" s="17"/>
      <c r="CF26" s="17">
        <v>0</v>
      </c>
      <c r="CG26" s="17"/>
      <c r="CH26" s="17">
        <v>0</v>
      </c>
      <c r="CI26" s="17">
        <v>0</v>
      </c>
      <c r="CJ26" s="17"/>
      <c r="CK26" t="e">
        <f>SQRT(((2*[1]Sheet1!$G$24/2*BC26)/[1]Sheet1!$N$30*((1-([1]Sheet2!$BQ$879*[1]Sheet2!$BQ$881))*[1]Sheet2!$BQ$885/([1]Sheet2!$BQ$882*[1]Sheet2!$BQ$881))*60*29.37))</f>
        <v>#DIV/0!</v>
      </c>
      <c r="CM26" s="430">
        <v>0</v>
      </c>
      <c r="CN26" s="431">
        <v>4599786</v>
      </c>
      <c r="CO26" s="686">
        <v>0</v>
      </c>
      <c r="CP26" s="433">
        <v>0</v>
      </c>
      <c r="CQ26" t="e">
        <f t="shared" si="0"/>
        <v>#DIV/0!</v>
      </c>
      <c r="CR26" t="e">
        <f>((([1]Sheet1!$N$29/CH26)-1)*LN(CK26/([1]Sheet1!$G$24/2)))</f>
        <v>#DIV/0!</v>
      </c>
    </row>
    <row r="27" spans="1:96" ht="18.75" x14ac:dyDescent="0.3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766" t="s">
        <v>94</v>
      </c>
      <c r="M27" s="726"/>
      <c r="N27" s="726"/>
      <c r="O27" s="727"/>
      <c r="P27" s="17"/>
      <c r="Q27" s="17"/>
      <c r="R27" s="17"/>
      <c r="S27" s="17"/>
      <c r="T27" s="17"/>
      <c r="U27" s="17">
        <v>36.119999999999997</v>
      </c>
      <c r="V27" s="402">
        <v>4.3</v>
      </c>
      <c r="W27" s="17"/>
      <c r="X27" s="17"/>
      <c r="Y27" s="767">
        <v>300</v>
      </c>
      <c r="Z27" s="768">
        <v>37</v>
      </c>
      <c r="AA27" s="769"/>
      <c r="AB27" s="17">
        <v>0</v>
      </c>
      <c r="AC27" s="770" t="s">
        <v>138</v>
      </c>
      <c r="AD27" s="771"/>
      <c r="AE27" s="765">
        <v>322</v>
      </c>
      <c r="AF27" s="772" t="s">
        <v>201</v>
      </c>
      <c r="AG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400">
        <v>307.18074023032898</v>
      </c>
      <c r="AW27" s="17">
        <v>36.365126681945398</v>
      </c>
      <c r="AX27" s="17"/>
      <c r="AY27" s="17">
        <v>0</v>
      </c>
      <c r="AZ27" s="17">
        <v>0</v>
      </c>
      <c r="BA27" s="17"/>
      <c r="BB27" s="101">
        <v>12.634429951864799</v>
      </c>
      <c r="BC27" s="17">
        <v>125</v>
      </c>
      <c r="BD27" s="102">
        <v>0</v>
      </c>
      <c r="BE27" s="9">
        <v>0</v>
      </c>
      <c r="BF27" s="9">
        <v>0</v>
      </c>
      <c r="BG27" s="17">
        <v>0</v>
      </c>
      <c r="BH27" s="17">
        <v>0</v>
      </c>
      <c r="BI27" s="17">
        <v>0</v>
      </c>
      <c r="BJ27" s="17">
        <v>0</v>
      </c>
      <c r="BK27" s="17">
        <v>0</v>
      </c>
      <c r="BL27" s="17">
        <v>0</v>
      </c>
      <c r="BM27" s="17">
        <v>0</v>
      </c>
      <c r="BN27" s="17"/>
      <c r="BO27" s="17"/>
      <c r="BP27" s="17"/>
      <c r="BQ27" s="17"/>
      <c r="BR27" s="17">
        <v>17.783292492035901</v>
      </c>
      <c r="BS27" s="17"/>
      <c r="BT27" s="17">
        <v>0</v>
      </c>
      <c r="BU27" s="17"/>
      <c r="BV27" s="17"/>
      <c r="BW27" s="17">
        <v>12.634429951864799</v>
      </c>
      <c r="BX27" s="17"/>
      <c r="BY27" s="17">
        <v>15.139517193243799</v>
      </c>
      <c r="BZ27" s="17">
        <v>62.933791153825801</v>
      </c>
      <c r="CA27" s="17"/>
      <c r="CB27" s="17">
        <v>2160</v>
      </c>
      <c r="CC27" s="17"/>
      <c r="CD27" s="17">
        <v>180</v>
      </c>
      <c r="CE27" s="17"/>
      <c r="CF27" s="17">
        <v>0</v>
      </c>
      <c r="CG27" s="17"/>
      <c r="CH27" s="17">
        <v>0</v>
      </c>
      <c r="CI27" s="17">
        <v>0</v>
      </c>
      <c r="CJ27" s="17"/>
      <c r="CK27" t="e">
        <f>SQRT(((2*[1]Sheet1!$G$24/2*BC27)/[1]Sheet1!$N$30*((1-([1]Sheet2!$BQ$879*[1]Sheet2!$BQ$881))*[1]Sheet2!$BQ$885/([1]Sheet2!$BQ$882*[1]Sheet2!$BQ$881))*60*29.37))</f>
        <v>#DIV/0!</v>
      </c>
      <c r="CM27" s="430">
        <v>0</v>
      </c>
      <c r="CN27" s="431">
        <v>4599786</v>
      </c>
      <c r="CO27" s="686">
        <v>0</v>
      </c>
      <c r="CP27" s="433">
        <v>0</v>
      </c>
      <c r="CQ27" t="e">
        <f t="shared" si="0"/>
        <v>#DIV/0!</v>
      </c>
      <c r="CR27" t="e">
        <f>((([1]Sheet1!$N$29/CH27)-1)*LN(CK27/([1]Sheet1!$G$24/2)))</f>
        <v>#DIV/0!</v>
      </c>
    </row>
    <row r="28" spans="1:96" ht="18.75" x14ac:dyDescent="0.3">
      <c r="A28" s="491" t="s">
        <v>33</v>
      </c>
      <c r="B28" s="498"/>
      <c r="C28" s="492"/>
      <c r="D28" s="493"/>
      <c r="E28" s="17"/>
      <c r="F28" s="491"/>
      <c r="G28" s="492"/>
      <c r="H28" s="773" t="s">
        <v>68</v>
      </c>
      <c r="I28" s="774"/>
      <c r="J28" s="775"/>
      <c r="K28" s="17"/>
      <c r="L28" s="743" t="s">
        <v>95</v>
      </c>
      <c r="M28" s="744"/>
      <c r="N28" s="776" t="s">
        <v>96</v>
      </c>
      <c r="O28" s="777"/>
      <c r="P28" s="17"/>
      <c r="Q28" s="778" t="s">
        <v>233</v>
      </c>
      <c r="R28" s="286"/>
      <c r="S28" s="111"/>
      <c r="T28" s="112"/>
      <c r="U28" s="17">
        <v>21.84</v>
      </c>
      <c r="V28" s="402">
        <v>2.6</v>
      </c>
      <c r="W28" s="17"/>
      <c r="X28" s="17"/>
      <c r="Y28" s="767">
        <v>200</v>
      </c>
      <c r="Z28" s="768">
        <v>29</v>
      </c>
      <c r="AA28" s="769"/>
      <c r="AB28" s="17">
        <v>0</v>
      </c>
      <c r="AC28" s="17"/>
      <c r="AD28" s="17"/>
      <c r="AE28" s="17"/>
      <c r="AF28" s="17"/>
      <c r="AG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400">
        <v>308.529276591761</v>
      </c>
      <c r="AW28" s="17">
        <v>35.016590320513799</v>
      </c>
      <c r="AX28" s="17"/>
      <c r="AY28" s="17">
        <v>0</v>
      </c>
      <c r="AZ28" s="17">
        <v>0</v>
      </c>
      <c r="BA28" s="17"/>
      <c r="BB28" s="101">
        <v>13.1980216876185</v>
      </c>
      <c r="BC28" s="17">
        <v>135</v>
      </c>
      <c r="BD28" s="102">
        <v>0</v>
      </c>
      <c r="BE28" s="9">
        <v>0</v>
      </c>
      <c r="BF28" s="9">
        <v>0</v>
      </c>
      <c r="BG28" s="17">
        <v>0</v>
      </c>
      <c r="BH28" s="17">
        <v>0</v>
      </c>
      <c r="BI28" s="17">
        <v>0</v>
      </c>
      <c r="BJ28" s="17">
        <v>0</v>
      </c>
      <c r="BK28" s="17">
        <v>0</v>
      </c>
      <c r="BL28" s="17">
        <v>0</v>
      </c>
      <c r="BM28" s="17">
        <v>0</v>
      </c>
      <c r="BN28" s="17"/>
      <c r="BO28" s="17"/>
      <c r="BP28" s="17"/>
      <c r="BQ28" s="17"/>
      <c r="BR28" s="17">
        <v>18.461449867382701</v>
      </c>
      <c r="BS28" s="17"/>
      <c r="BT28" s="17">
        <v>0</v>
      </c>
      <c r="BU28" s="17"/>
      <c r="BV28" s="17"/>
      <c r="BW28" s="17">
        <v>13.1980216876185</v>
      </c>
      <c r="BX28" s="17"/>
      <c r="BY28" s="17">
        <v>15.7334477884565</v>
      </c>
      <c r="BZ28" s="17">
        <v>61.608720833866599</v>
      </c>
      <c r="CA28" s="17"/>
      <c r="CB28" s="17">
        <v>2070</v>
      </c>
      <c r="CC28" s="17"/>
      <c r="CD28" s="17">
        <v>172.5</v>
      </c>
      <c r="CE28" s="17"/>
      <c r="CF28" s="17">
        <v>0</v>
      </c>
      <c r="CG28" s="17"/>
      <c r="CH28" s="17">
        <v>0</v>
      </c>
      <c r="CI28" s="17">
        <v>0</v>
      </c>
      <c r="CJ28" s="17"/>
      <c r="CK28" t="e">
        <f>SQRT(((2*[1]Sheet1!$G$24/2*BC28)/[1]Sheet1!$N$30*((1-([1]Sheet2!$BQ$879*[1]Sheet2!$BQ$881))*[1]Sheet2!$BQ$885/([1]Sheet2!$BQ$882*[1]Sheet2!$BQ$881))*60*29.37))</f>
        <v>#DIV/0!</v>
      </c>
      <c r="CM28" s="430">
        <v>0</v>
      </c>
      <c r="CN28" s="431">
        <v>4599786</v>
      </c>
      <c r="CO28" s="686">
        <v>0</v>
      </c>
      <c r="CP28" s="433">
        <v>0</v>
      </c>
      <c r="CQ28" t="e">
        <f t="shared" si="0"/>
        <v>#DIV/0!</v>
      </c>
      <c r="CR28" t="e">
        <f>((([1]Sheet1!$N$29/CH28)-1)*LN(CK28/([1]Sheet1!$G$24/2)))</f>
        <v>#DIV/0!</v>
      </c>
    </row>
    <row r="29" spans="1:96" ht="18.75" x14ac:dyDescent="0.3">
      <c r="A29" s="779" t="s">
        <v>36</v>
      </c>
      <c r="B29" s="780"/>
      <c r="C29" s="781">
        <v>12412</v>
      </c>
      <c r="D29" s="782" t="s">
        <v>42</v>
      </c>
      <c r="E29" s="17"/>
      <c r="F29" s="783" t="s">
        <v>70</v>
      </c>
      <c r="G29" s="784" t="s">
        <v>225</v>
      </c>
      <c r="H29" s="784" t="s">
        <v>226</v>
      </c>
      <c r="I29" s="784" t="s">
        <v>227</v>
      </c>
      <c r="J29" s="785" t="s">
        <v>71</v>
      </c>
      <c r="K29" s="17"/>
      <c r="L29" s="786" t="s">
        <v>97</v>
      </c>
      <c r="M29" s="764"/>
      <c r="N29" s="527">
        <v>180</v>
      </c>
      <c r="O29" s="787" t="s">
        <v>175</v>
      </c>
      <c r="P29" s="17"/>
      <c r="Q29" s="788" t="s">
        <v>112</v>
      </c>
      <c r="R29" s="789" t="s">
        <v>113</v>
      </c>
      <c r="S29" s="790" t="s">
        <v>234</v>
      </c>
      <c r="T29" s="791" t="s">
        <v>348</v>
      </c>
      <c r="U29" s="17">
        <v>13.44</v>
      </c>
      <c r="V29" s="402">
        <v>1.6</v>
      </c>
      <c r="W29" s="17"/>
      <c r="X29" s="17"/>
      <c r="Y29" s="767">
        <v>100</v>
      </c>
      <c r="Z29" s="768">
        <v>21</v>
      </c>
      <c r="AA29" s="769"/>
      <c r="AB29" s="17">
        <v>0</v>
      </c>
      <c r="AC29" s="17"/>
      <c r="AD29" s="17"/>
      <c r="AE29" s="17"/>
      <c r="AF29" s="17"/>
      <c r="AG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400">
        <v>309.73811950930002</v>
      </c>
      <c r="AW29" s="17">
        <v>33.807747402974499</v>
      </c>
      <c r="AX29" s="17"/>
      <c r="AY29" s="17">
        <v>0</v>
      </c>
      <c r="AZ29" s="17">
        <v>0</v>
      </c>
      <c r="BA29" s="17"/>
      <c r="BB29" s="101">
        <v>13.741448040717399</v>
      </c>
      <c r="BC29" s="17">
        <v>145</v>
      </c>
      <c r="BD29" s="102">
        <v>0</v>
      </c>
      <c r="BE29" s="9">
        <v>0</v>
      </c>
      <c r="BF29" s="9">
        <v>0</v>
      </c>
      <c r="BG29" s="17">
        <v>0</v>
      </c>
      <c r="BH29" s="17">
        <v>0</v>
      </c>
      <c r="BI29" s="17">
        <v>0</v>
      </c>
      <c r="BJ29" s="17">
        <v>0</v>
      </c>
      <c r="BK29" s="17">
        <v>0</v>
      </c>
      <c r="BL29" s="17">
        <v>0</v>
      </c>
      <c r="BM29" s="17">
        <v>0</v>
      </c>
      <c r="BN29" s="17"/>
      <c r="BO29" s="17"/>
      <c r="BP29" s="17"/>
      <c r="BQ29" s="17"/>
      <c r="BR29" s="17">
        <v>19.115563568842699</v>
      </c>
      <c r="BS29" s="17"/>
      <c r="BT29" s="17">
        <v>0</v>
      </c>
      <c r="BU29" s="17"/>
      <c r="BV29" s="17"/>
      <c r="BW29" s="17">
        <v>13.741448040717399</v>
      </c>
      <c r="BX29" s="17"/>
      <c r="BY29" s="17">
        <v>16.305759037212798</v>
      </c>
      <c r="BZ29" s="17">
        <v>60.254517644548898</v>
      </c>
      <c r="CA29" s="17"/>
      <c r="CB29" s="17">
        <v>1980</v>
      </c>
      <c r="CC29" s="17"/>
      <c r="CD29" s="17">
        <v>165</v>
      </c>
      <c r="CE29" s="17"/>
      <c r="CF29" s="17">
        <v>0</v>
      </c>
      <c r="CG29" s="17"/>
      <c r="CH29" s="17">
        <v>0</v>
      </c>
      <c r="CI29" s="17">
        <v>0</v>
      </c>
      <c r="CJ29" s="17"/>
      <c r="CK29" t="e">
        <f>SQRT(((2*[1]Sheet1!$G$24/2*BC29)/[1]Sheet1!$N$30*((1-([1]Sheet2!$BQ$879*[1]Sheet2!$BQ$881))*[1]Sheet2!$BQ$885/([1]Sheet2!$BQ$882*[1]Sheet2!$BQ$881))*60*29.37))</f>
        <v>#DIV/0!</v>
      </c>
      <c r="CM29" s="430">
        <v>0</v>
      </c>
      <c r="CN29" s="431">
        <v>4599786</v>
      </c>
      <c r="CO29" s="686">
        <v>0</v>
      </c>
      <c r="CP29" s="433">
        <v>0</v>
      </c>
      <c r="CQ29" t="e">
        <f t="shared" si="0"/>
        <v>#DIV/0!</v>
      </c>
      <c r="CR29" t="e">
        <f>((([1]Sheet1!$N$29/CH29)-1)*LN(CK29/([1]Sheet1!$G$24/2)))</f>
        <v>#DIV/0!</v>
      </c>
    </row>
    <row r="30" spans="1:96" ht="18.75" x14ac:dyDescent="0.3">
      <c r="A30" s="91" t="s">
        <v>38</v>
      </c>
      <c r="B30" s="513"/>
      <c r="C30" s="792">
        <v>8.85</v>
      </c>
      <c r="D30" s="793" t="s">
        <v>229</v>
      </c>
      <c r="E30" s="17">
        <v>0</v>
      </c>
      <c r="F30" s="794">
        <v>1</v>
      </c>
      <c r="G30" s="795">
        <v>2</v>
      </c>
      <c r="H30" s="739">
        <v>2.5</v>
      </c>
      <c r="I30" s="739">
        <v>4.75</v>
      </c>
      <c r="J30" s="796" t="s">
        <v>74</v>
      </c>
      <c r="K30" s="17"/>
      <c r="L30" s="786" t="s">
        <v>98</v>
      </c>
      <c r="M30" s="764"/>
      <c r="N30" s="265">
        <v>0.13</v>
      </c>
      <c r="O30" s="787" t="s">
        <v>46</v>
      </c>
      <c r="P30" s="17"/>
      <c r="Q30" s="797">
        <v>1</v>
      </c>
      <c r="R30" s="798" t="s">
        <v>320</v>
      </c>
      <c r="S30" s="799">
        <v>10</v>
      </c>
      <c r="T30" s="800">
        <v>20.16</v>
      </c>
      <c r="U30" s="17">
        <v>13.44</v>
      </c>
      <c r="V30" s="402">
        <v>1.6</v>
      </c>
      <c r="W30" s="17"/>
      <c r="X30" s="17"/>
      <c r="Y30" s="767">
        <v>6</v>
      </c>
      <c r="Z30" s="768">
        <v>9</v>
      </c>
      <c r="AA30" s="769"/>
      <c r="AB30" s="17">
        <v>0</v>
      </c>
      <c r="AC30" s="17"/>
      <c r="AD30" s="17"/>
      <c r="AE30" s="17"/>
      <c r="AF30" s="17"/>
      <c r="AG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400">
        <v>310.829832751499</v>
      </c>
      <c r="AW30" s="17">
        <v>32.716034160775102</v>
      </c>
      <c r="AX30" s="17"/>
      <c r="AY30" s="17">
        <v>0</v>
      </c>
      <c r="AZ30" s="17">
        <v>0</v>
      </c>
      <c r="BA30" s="17"/>
      <c r="BB30" s="101">
        <v>14.266730145296201</v>
      </c>
      <c r="BC30" s="17">
        <v>155</v>
      </c>
      <c r="BD30" s="102">
        <v>0</v>
      </c>
      <c r="BE30" s="9">
        <v>0</v>
      </c>
      <c r="BF30" s="9">
        <v>0</v>
      </c>
      <c r="BG30" s="17">
        <v>0</v>
      </c>
      <c r="BH30" s="17">
        <v>0</v>
      </c>
      <c r="BI30" s="17">
        <v>0</v>
      </c>
      <c r="BJ30" s="17">
        <v>0</v>
      </c>
      <c r="BK30" s="17">
        <v>0</v>
      </c>
      <c r="BL30" s="17">
        <v>0</v>
      </c>
      <c r="BM30" s="17">
        <v>0</v>
      </c>
      <c r="BN30" s="17"/>
      <c r="BO30" s="17"/>
      <c r="BP30" s="17"/>
      <c r="BQ30" s="17"/>
      <c r="BR30" s="17">
        <v>19.7480229365638</v>
      </c>
      <c r="BS30" s="17"/>
      <c r="BT30" s="17">
        <v>0</v>
      </c>
      <c r="BU30" s="17"/>
      <c r="BV30" s="17"/>
      <c r="BW30" s="17">
        <v>14.266730145296201</v>
      </c>
      <c r="BX30" s="17"/>
      <c r="BY30" s="17">
        <v>16.858652859799001</v>
      </c>
      <c r="BZ30" s="17">
        <v>58.869171137100302</v>
      </c>
      <c r="CA30" s="17"/>
      <c r="CB30" s="17">
        <v>1890</v>
      </c>
      <c r="CC30" s="17"/>
      <c r="CD30" s="17">
        <v>157.5</v>
      </c>
      <c r="CE30" s="17"/>
      <c r="CF30" s="17">
        <v>0</v>
      </c>
      <c r="CG30" s="17"/>
      <c r="CH30" s="17">
        <v>0</v>
      </c>
      <c r="CI30" s="17">
        <v>0</v>
      </c>
      <c r="CJ30" s="17"/>
      <c r="CK30" t="e">
        <f>SQRT(((2*[1]Sheet1!$G$24/2*BC30)/[1]Sheet1!$N$30*((1-([1]Sheet2!$BQ$879*[1]Sheet2!$BQ$881))*[1]Sheet2!$BQ$885/([1]Sheet2!$BQ$882*[1]Sheet2!$BQ$881))*60*29.37))</f>
        <v>#DIV/0!</v>
      </c>
      <c r="CM30" s="430">
        <v>0</v>
      </c>
      <c r="CN30" s="431">
        <v>4599786</v>
      </c>
      <c r="CO30" s="686">
        <v>0</v>
      </c>
      <c r="CP30" s="433">
        <v>0</v>
      </c>
      <c r="CQ30" t="e">
        <f t="shared" si="0"/>
        <v>#DIV/0!</v>
      </c>
      <c r="CR30" t="e">
        <f>((([1]Sheet1!$N$29/CH30)-1)*LN(CK30/([1]Sheet1!$G$24/2)))</f>
        <v>#DIV/0!</v>
      </c>
    </row>
    <row r="31" spans="1:96" ht="18.75" x14ac:dyDescent="0.3">
      <c r="A31" s="91" t="s">
        <v>40</v>
      </c>
      <c r="B31" s="513"/>
      <c r="C31" s="792">
        <v>9.6300000000000008</v>
      </c>
      <c r="D31" s="793" t="s">
        <v>229</v>
      </c>
      <c r="E31" s="17"/>
      <c r="F31" s="801">
        <v>2</v>
      </c>
      <c r="G31" s="795">
        <v>6</v>
      </c>
      <c r="H31" s="739">
        <v>2.5</v>
      </c>
      <c r="I31" s="739">
        <v>4.75</v>
      </c>
      <c r="J31" s="802" t="s">
        <v>76</v>
      </c>
      <c r="K31" s="17"/>
      <c r="L31" s="786" t="s">
        <v>99</v>
      </c>
      <c r="M31" s="764"/>
      <c r="N31" s="803">
        <v>1.1200000000000001</v>
      </c>
      <c r="O31" s="787" t="s">
        <v>73</v>
      </c>
      <c r="P31" s="17"/>
      <c r="Q31" s="804">
        <v>2</v>
      </c>
      <c r="R31" s="805" t="s">
        <v>321</v>
      </c>
      <c r="S31" s="799">
        <v>2</v>
      </c>
      <c r="T31" s="800">
        <v>17.64</v>
      </c>
      <c r="U31" s="17">
        <v>11.76</v>
      </c>
      <c r="V31" s="402">
        <v>1.4</v>
      </c>
      <c r="W31" s="17"/>
      <c r="X31" s="17"/>
      <c r="Y31" s="806">
        <v>3</v>
      </c>
      <c r="Z31" s="807">
        <v>7</v>
      </c>
      <c r="AA31" s="808"/>
      <c r="AB31" s="17"/>
      <c r="AC31" s="17"/>
      <c r="AD31" s="17"/>
      <c r="AE31" s="17"/>
      <c r="AF31" s="17"/>
      <c r="AG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400">
        <v>311.82218660236799</v>
      </c>
      <c r="AW31" s="17">
        <v>31.7236803099063</v>
      </c>
      <c r="AX31" s="17"/>
      <c r="AY31" s="17">
        <v>0</v>
      </c>
      <c r="AZ31" s="17">
        <v>0</v>
      </c>
      <c r="BA31" s="17"/>
      <c r="BB31" s="101">
        <v>14.7755725035294</v>
      </c>
      <c r="BC31" s="17">
        <v>165</v>
      </c>
      <c r="BD31" s="102">
        <v>0</v>
      </c>
      <c r="BE31" s="9">
        <v>0</v>
      </c>
      <c r="BF31" s="9">
        <v>0</v>
      </c>
      <c r="BG31" s="17">
        <v>0</v>
      </c>
      <c r="BH31" s="17">
        <v>0</v>
      </c>
      <c r="BI31" s="17">
        <v>0</v>
      </c>
      <c r="BJ31" s="17">
        <v>0</v>
      </c>
      <c r="BK31" s="17">
        <v>0</v>
      </c>
      <c r="BL31" s="17">
        <v>0</v>
      </c>
      <c r="BM31" s="17">
        <v>0</v>
      </c>
      <c r="BN31" s="17"/>
      <c r="BO31" s="17"/>
      <c r="BP31" s="17"/>
      <c r="BQ31" s="17"/>
      <c r="BR31" s="17">
        <v>20.360845985656798</v>
      </c>
      <c r="BS31" s="17"/>
      <c r="BT31" s="17">
        <v>0</v>
      </c>
      <c r="BU31" s="17"/>
      <c r="BV31" s="17"/>
      <c r="BW31" s="17">
        <v>14.7755725035294</v>
      </c>
      <c r="BX31" s="17"/>
      <c r="BY31" s="17">
        <v>17.3939809909857</v>
      </c>
      <c r="BZ31" s="17">
        <v>57.450428407115801</v>
      </c>
      <c r="CA31" s="17"/>
      <c r="CB31" s="17">
        <v>1800</v>
      </c>
      <c r="CC31" s="17"/>
      <c r="CD31" s="17">
        <v>150</v>
      </c>
      <c r="CE31" s="17"/>
      <c r="CF31" s="17">
        <v>0</v>
      </c>
      <c r="CG31" s="17"/>
      <c r="CH31" s="17">
        <v>0</v>
      </c>
      <c r="CI31" s="17">
        <v>0</v>
      </c>
      <c r="CJ31" s="17"/>
      <c r="CK31" t="e">
        <f>SQRT(((2*[1]Sheet1!$G$24/2*BC31)/[1]Sheet1!$N$30*((1-([1]Sheet2!$BQ$879*[1]Sheet2!$BQ$881))*[1]Sheet2!$BQ$885/([1]Sheet2!$BQ$882*[1]Sheet2!$BQ$881))*60*29.37))</f>
        <v>#DIV/0!</v>
      </c>
      <c r="CM31" s="430">
        <v>0</v>
      </c>
      <c r="CN31" s="431">
        <v>4599786</v>
      </c>
      <c r="CO31" s="686">
        <v>0</v>
      </c>
      <c r="CP31" s="433">
        <v>0</v>
      </c>
      <c r="CQ31" t="e">
        <f t="shared" si="0"/>
        <v>#DIV/0!</v>
      </c>
      <c r="CR31" t="e">
        <f>((([1]Sheet1!$N$29/CH31)-1)*LN(CK31/([1]Sheet1!$G$24/2)))</f>
        <v>#DIV/0!</v>
      </c>
    </row>
    <row r="32" spans="1:96" ht="18.75" x14ac:dyDescent="0.3">
      <c r="A32" s="17"/>
      <c r="B32" s="17"/>
      <c r="C32" s="17"/>
      <c r="D32" s="17"/>
      <c r="E32" s="17"/>
      <c r="F32" s="801">
        <v>3</v>
      </c>
      <c r="G32" s="795">
        <v>394</v>
      </c>
      <c r="H32" s="739">
        <v>2.5</v>
      </c>
      <c r="I32" s="739">
        <v>4.75</v>
      </c>
      <c r="J32" s="802" t="s">
        <v>78</v>
      </c>
      <c r="K32" s="17"/>
      <c r="L32" s="786" t="s">
        <v>100</v>
      </c>
      <c r="M32" s="764"/>
      <c r="N32" s="765" t="s">
        <v>46</v>
      </c>
      <c r="O32" s="787" t="s">
        <v>235</v>
      </c>
      <c r="P32" s="17"/>
      <c r="Q32" s="804">
        <v>3</v>
      </c>
      <c r="R32" s="809" t="s">
        <v>117</v>
      </c>
      <c r="S32" s="799">
        <v>150</v>
      </c>
      <c r="T32" s="800">
        <v>36.119999999999997</v>
      </c>
      <c r="U32" s="17">
        <v>11.76</v>
      </c>
      <c r="V32" s="411">
        <v>1.4</v>
      </c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400">
        <v>312.72939239455201</v>
      </c>
      <c r="AW32" s="17">
        <v>30.816474517722</v>
      </c>
      <c r="AX32" s="17"/>
      <c r="AY32" s="17">
        <v>0</v>
      </c>
      <c r="AZ32" s="17">
        <v>0</v>
      </c>
      <c r="BA32" s="17"/>
      <c r="BB32" s="101">
        <v>15.2694283640905</v>
      </c>
      <c r="BC32" s="17">
        <v>175</v>
      </c>
      <c r="BD32" s="102">
        <v>0</v>
      </c>
      <c r="BE32" s="9">
        <v>0</v>
      </c>
      <c r="BF32" s="9">
        <v>0</v>
      </c>
      <c r="BG32" s="17">
        <v>0</v>
      </c>
      <c r="BH32" s="17">
        <v>0</v>
      </c>
      <c r="BI32" s="17">
        <v>0</v>
      </c>
      <c r="BJ32" s="17">
        <v>0</v>
      </c>
      <c r="BK32" s="17">
        <v>0</v>
      </c>
      <c r="BL32" s="17">
        <v>0</v>
      </c>
      <c r="BM32" s="17">
        <v>0</v>
      </c>
      <c r="BN32" s="17"/>
      <c r="BO32" s="17"/>
      <c r="BP32" s="17"/>
      <c r="BQ32" s="17"/>
      <c r="BR32" s="17">
        <v>20.955755500583098</v>
      </c>
      <c r="BS32" s="17"/>
      <c r="BT32" s="17">
        <v>0</v>
      </c>
      <c r="BU32" s="17"/>
      <c r="BV32" s="17"/>
      <c r="BW32" s="17">
        <v>15.2694283640905</v>
      </c>
      <c r="BX32" s="17"/>
      <c r="BY32" s="17">
        <v>17.913318318567701</v>
      </c>
      <c r="BZ32" s="17">
        <v>55.995751070532897</v>
      </c>
      <c r="CA32" s="17"/>
      <c r="CB32" s="17">
        <v>1710</v>
      </c>
      <c r="CC32" s="17"/>
      <c r="CD32" s="17">
        <v>142.5</v>
      </c>
      <c r="CE32" s="17"/>
      <c r="CF32" s="17">
        <v>0</v>
      </c>
      <c r="CG32" s="17"/>
      <c r="CH32" s="17">
        <v>0</v>
      </c>
      <c r="CI32" s="17">
        <v>0</v>
      </c>
      <c r="CJ32" s="17"/>
      <c r="CK32" t="e">
        <f>SQRT(((2*[1]Sheet1!$G$24/2*BC32)/[1]Sheet1!$N$30*((1-([1]Sheet2!$BQ$879*[1]Sheet2!$BQ$881))*[1]Sheet2!$BQ$885/([1]Sheet2!$BQ$882*[1]Sheet2!$BQ$881))*60*29.37))</f>
        <v>#DIV/0!</v>
      </c>
      <c r="CM32" s="430">
        <v>0</v>
      </c>
      <c r="CN32" s="431">
        <v>4599786</v>
      </c>
      <c r="CO32" s="686">
        <v>0</v>
      </c>
      <c r="CP32" s="433">
        <v>0</v>
      </c>
      <c r="CQ32" t="e">
        <f t="shared" si="0"/>
        <v>#DIV/0!</v>
      </c>
      <c r="CR32" t="e">
        <f>((([1]Sheet1!$N$29/CH32)-1)*LN(CK32/([1]Sheet1!$G$24/2)))</f>
        <v>#DIV/0!</v>
      </c>
    </row>
    <row r="33" spans="1:96" ht="18.75" x14ac:dyDescent="0.3">
      <c r="A33" s="491" t="s">
        <v>59</v>
      </c>
      <c r="B33" s="111"/>
      <c r="C33" s="112"/>
      <c r="D33" s="17"/>
      <c r="E33" s="17"/>
      <c r="F33" s="801">
        <v>4</v>
      </c>
      <c r="G33" s="795">
        <v>2</v>
      </c>
      <c r="H33" s="739">
        <v>2.5</v>
      </c>
      <c r="I33" s="739">
        <v>4.75</v>
      </c>
      <c r="J33" s="802" t="s">
        <v>80</v>
      </c>
      <c r="K33" s="17"/>
      <c r="L33" s="786" t="s">
        <v>101</v>
      </c>
      <c r="M33" s="764"/>
      <c r="N33" s="803">
        <v>2.0299999999999998</v>
      </c>
      <c r="O33" s="787" t="s">
        <v>46</v>
      </c>
      <c r="P33" s="17"/>
      <c r="Q33" s="804">
        <v>4</v>
      </c>
      <c r="R33" s="809" t="s">
        <v>118</v>
      </c>
      <c r="S33" s="799">
        <v>35</v>
      </c>
      <c r="T33" s="800">
        <v>21.84</v>
      </c>
      <c r="U33" s="17"/>
      <c r="V33" s="17"/>
      <c r="W33" s="17"/>
      <c r="X33" s="17"/>
      <c r="Y33" s="421" t="s">
        <v>363</v>
      </c>
      <c r="Z33" s="708"/>
      <c r="AA33" s="148"/>
      <c r="AB33" s="17"/>
      <c r="AC33" s="17"/>
      <c r="AD33" s="17"/>
      <c r="AE33" s="17"/>
      <c r="AF33" s="17"/>
      <c r="AG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400">
        <v>313.56296943308502</v>
      </c>
      <c r="AW33" s="17">
        <v>29.9828974791895</v>
      </c>
      <c r="AX33" s="17"/>
      <c r="AY33" s="17">
        <v>0</v>
      </c>
      <c r="AZ33" s="17">
        <v>0</v>
      </c>
      <c r="BA33" s="17"/>
      <c r="BB33" s="101">
        <v>15.749548704790699</v>
      </c>
      <c r="BC33" s="17">
        <v>185</v>
      </c>
      <c r="BD33" s="102">
        <v>0</v>
      </c>
      <c r="BE33" s="9">
        <v>0</v>
      </c>
      <c r="BF33" s="9">
        <v>0</v>
      </c>
      <c r="BG33" s="17">
        <v>0</v>
      </c>
      <c r="BH33" s="17">
        <v>0</v>
      </c>
      <c r="BI33" s="17">
        <v>0</v>
      </c>
      <c r="BJ33" s="17">
        <v>0</v>
      </c>
      <c r="BK33" s="17">
        <v>0</v>
      </c>
      <c r="BL33" s="17">
        <v>0</v>
      </c>
      <c r="BM33" s="17">
        <v>0</v>
      </c>
      <c r="BN33" s="17"/>
      <c r="BO33" s="17"/>
      <c r="BP33" s="17"/>
      <c r="BQ33" s="17"/>
      <c r="BR33" s="17">
        <v>21.534236182154299</v>
      </c>
      <c r="BS33" s="17"/>
      <c r="BT33" s="17">
        <v>0</v>
      </c>
      <c r="BU33" s="17"/>
      <c r="BV33" s="17"/>
      <c r="BW33" s="17">
        <v>15.749548704790699</v>
      </c>
      <c r="BX33" s="17"/>
      <c r="BY33" s="17">
        <v>18.4180175819738</v>
      </c>
      <c r="BZ33" s="17">
        <v>54.502261895677599</v>
      </c>
      <c r="CA33" s="17"/>
      <c r="CB33" s="17">
        <v>1620</v>
      </c>
      <c r="CC33" s="17"/>
      <c r="CD33" s="17">
        <v>135</v>
      </c>
      <c r="CE33" s="17"/>
      <c r="CF33" s="17">
        <v>0</v>
      </c>
      <c r="CG33" s="17"/>
      <c r="CH33" s="17">
        <v>0</v>
      </c>
      <c r="CI33" s="17">
        <v>0</v>
      </c>
      <c r="CJ33" s="17"/>
      <c r="CK33" t="e">
        <f>SQRT(((2*[1]Sheet1!$G$24/2*BC33)/[1]Sheet1!$N$30*((1-([1]Sheet2!$BQ$879*[1]Sheet2!$BQ$881))*[1]Sheet2!$BQ$885/([1]Sheet2!$BQ$882*[1]Sheet2!$BQ$881))*60*29.37))</f>
        <v>#DIV/0!</v>
      </c>
      <c r="CM33" s="430">
        <v>0</v>
      </c>
      <c r="CN33" s="431">
        <v>4599786</v>
      </c>
      <c r="CO33" s="686">
        <v>0</v>
      </c>
      <c r="CP33" s="433">
        <v>0</v>
      </c>
      <c r="CQ33" t="e">
        <f t="shared" si="0"/>
        <v>#DIV/0!</v>
      </c>
      <c r="CR33" t="e">
        <f>((([1]Sheet1!$N$29/CH33)-1)*LN(CK33/([1]Sheet1!$G$24/2)))</f>
        <v>#DIV/0!</v>
      </c>
    </row>
    <row r="34" spans="1:96" ht="18.75" x14ac:dyDescent="0.3">
      <c r="A34" s="810" t="s">
        <v>60</v>
      </c>
      <c r="B34" s="739">
        <v>5</v>
      </c>
      <c r="C34" s="811" t="s">
        <v>229</v>
      </c>
      <c r="D34" s="17">
        <v>0</v>
      </c>
      <c r="E34" s="17"/>
      <c r="F34" s="801">
        <v>5</v>
      </c>
      <c r="G34" s="795">
        <v>60</v>
      </c>
      <c r="H34" s="739">
        <v>2.5</v>
      </c>
      <c r="I34" s="739">
        <v>4.75</v>
      </c>
      <c r="J34" s="802" t="s">
        <v>78</v>
      </c>
      <c r="K34" s="17"/>
      <c r="L34" s="786" t="s">
        <v>102</v>
      </c>
      <c r="M34" s="764"/>
      <c r="N34" s="765">
        <v>2570</v>
      </c>
      <c r="O34" s="787" t="s">
        <v>42</v>
      </c>
      <c r="P34" s="17"/>
      <c r="Q34" s="804">
        <v>5</v>
      </c>
      <c r="R34" s="809" t="s">
        <v>120</v>
      </c>
      <c r="S34" s="799">
        <v>3</v>
      </c>
      <c r="T34" s="800">
        <v>13.44</v>
      </c>
      <c r="U34" s="17"/>
      <c r="V34" s="17"/>
      <c r="W34" s="17"/>
      <c r="X34" s="17"/>
      <c r="Y34" s="434" t="s">
        <v>130</v>
      </c>
      <c r="Z34" s="158"/>
      <c r="AA34" s="51"/>
      <c r="AB34" s="17"/>
      <c r="AC34" s="17"/>
      <c r="AD34" s="17"/>
      <c r="AE34" s="17"/>
      <c r="AF34" s="17"/>
      <c r="AG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400">
        <v>314.33236704513502</v>
      </c>
      <c r="AW34" s="17">
        <v>29.213499867139198</v>
      </c>
      <c r="AX34" s="17"/>
      <c r="AY34" s="17">
        <v>0</v>
      </c>
      <c r="AZ34" s="17">
        <v>0</v>
      </c>
      <c r="BA34" s="17"/>
      <c r="BB34" s="101">
        <v>16.217019581287701</v>
      </c>
      <c r="BC34" s="17">
        <v>195</v>
      </c>
      <c r="BD34" s="102">
        <v>0</v>
      </c>
      <c r="BE34" s="9">
        <v>0</v>
      </c>
      <c r="BF34" s="9">
        <v>0</v>
      </c>
      <c r="BG34" s="17">
        <v>0</v>
      </c>
      <c r="BH34" s="17">
        <v>0</v>
      </c>
      <c r="BI34" s="17">
        <v>0</v>
      </c>
      <c r="BJ34" s="17">
        <v>0</v>
      </c>
      <c r="BK34" s="17">
        <v>0</v>
      </c>
      <c r="BL34" s="17">
        <v>0</v>
      </c>
      <c r="BM34" s="17">
        <v>0</v>
      </c>
      <c r="BN34" s="17"/>
      <c r="BO34" s="17"/>
      <c r="BP34" s="17"/>
      <c r="BQ34" s="17"/>
      <c r="BR34" s="17">
        <v>22.097578312959701</v>
      </c>
      <c r="BS34" s="17"/>
      <c r="BT34" s="17">
        <v>0</v>
      </c>
      <c r="BU34" s="17"/>
      <c r="BV34" s="17"/>
      <c r="BW34" s="17">
        <v>16.217019581287701</v>
      </c>
      <c r="BX34" s="17"/>
      <c r="BY34" s="17">
        <v>18.909250913705101</v>
      </c>
      <c r="BZ34" s="17">
        <v>52.966677878992698</v>
      </c>
      <c r="CA34" s="17"/>
      <c r="CB34" s="17">
        <v>1530</v>
      </c>
      <c r="CC34" s="17"/>
      <c r="CD34" s="17">
        <v>127.5</v>
      </c>
      <c r="CE34" s="17"/>
      <c r="CF34" s="17">
        <v>0</v>
      </c>
      <c r="CG34" s="17"/>
      <c r="CH34" s="17">
        <v>0</v>
      </c>
      <c r="CI34" s="17">
        <v>0</v>
      </c>
      <c r="CJ34" s="17"/>
      <c r="CK34" t="e">
        <f>SQRT(((2*[1]Sheet1!$G$24/2*BC34)/[1]Sheet1!$N$30*((1-([1]Sheet2!$BQ$879*[1]Sheet2!$BQ$881))*[1]Sheet2!$BQ$885/([1]Sheet2!$BQ$882*[1]Sheet2!$BQ$881))*60*29.37))</f>
        <v>#DIV/0!</v>
      </c>
      <c r="CM34" s="430">
        <v>0</v>
      </c>
      <c r="CN34" s="431">
        <v>4599786</v>
      </c>
      <c r="CO34" s="686">
        <v>0</v>
      </c>
      <c r="CP34" s="433">
        <v>0</v>
      </c>
      <c r="CQ34" t="e">
        <f t="shared" si="0"/>
        <v>#DIV/0!</v>
      </c>
      <c r="CR34" t="e">
        <f>((([1]Sheet1!$N$29/CH34)-1)*LN(CK34/([1]Sheet1!$G$24/2)))</f>
        <v>#DIV/0!</v>
      </c>
    </row>
    <row r="35" spans="1:96" ht="18.75" x14ac:dyDescent="0.3">
      <c r="A35" s="91" t="s">
        <v>62</v>
      </c>
      <c r="B35" s="792">
        <v>4.2750000000000004</v>
      </c>
      <c r="C35" s="812" t="s">
        <v>229</v>
      </c>
      <c r="D35" s="17"/>
      <c r="E35" s="17"/>
      <c r="F35" s="801">
        <v>6</v>
      </c>
      <c r="G35" s="795">
        <v>2</v>
      </c>
      <c r="H35" s="739">
        <v>2.5</v>
      </c>
      <c r="I35" s="739">
        <v>4.75</v>
      </c>
      <c r="J35" s="802" t="s">
        <v>81</v>
      </c>
      <c r="K35" s="17"/>
      <c r="L35" s="786" t="s">
        <v>103</v>
      </c>
      <c r="M35" s="764"/>
      <c r="N35" s="765">
        <v>285</v>
      </c>
      <c r="O35" s="787" t="s">
        <v>42</v>
      </c>
      <c r="P35" s="17"/>
      <c r="Q35" s="804">
        <v>6</v>
      </c>
      <c r="R35" s="809" t="s">
        <v>122</v>
      </c>
      <c r="S35" s="799">
        <v>3</v>
      </c>
      <c r="T35" s="800">
        <v>13.44</v>
      </c>
      <c r="U35" s="17"/>
      <c r="V35" s="17"/>
      <c r="W35" s="17"/>
      <c r="X35" s="17"/>
      <c r="Y35" s="442" t="s">
        <v>8</v>
      </c>
      <c r="Z35" s="434" t="s">
        <v>361</v>
      </c>
      <c r="AA35" s="443"/>
      <c r="AB35" s="17"/>
      <c r="AC35" s="17"/>
      <c r="AD35" s="17"/>
      <c r="AE35" s="17"/>
      <c r="AF35" s="17"/>
      <c r="AG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400">
        <v>315.04541951422902</v>
      </c>
      <c r="AW35" s="17">
        <v>28.5004473980459</v>
      </c>
      <c r="AX35" s="17"/>
      <c r="AY35" s="17">
        <v>0</v>
      </c>
      <c r="AZ35" s="17">
        <v>0</v>
      </c>
      <c r="BA35" s="17"/>
      <c r="BB35" s="101">
        <v>16.672791050785701</v>
      </c>
      <c r="BC35" s="17">
        <v>205</v>
      </c>
      <c r="BD35" s="102">
        <v>0</v>
      </c>
      <c r="BE35" s="9">
        <v>0</v>
      </c>
      <c r="BF35" s="9">
        <v>0</v>
      </c>
      <c r="BG35" s="17">
        <v>0</v>
      </c>
      <c r="BH35" s="17">
        <v>0</v>
      </c>
      <c r="BI35" s="17">
        <v>0</v>
      </c>
      <c r="BJ35" s="17">
        <v>0</v>
      </c>
      <c r="BK35" s="17">
        <v>0</v>
      </c>
      <c r="BL35" s="17">
        <v>0</v>
      </c>
      <c r="BM35" s="17">
        <v>0</v>
      </c>
      <c r="BN35" s="17"/>
      <c r="BO35" s="17"/>
      <c r="BP35" s="17"/>
      <c r="BQ35" s="17"/>
      <c r="BR35" s="17">
        <v>22.646911635937698</v>
      </c>
      <c r="BS35" s="17"/>
      <c r="BT35" s="17">
        <v>0</v>
      </c>
      <c r="BU35" s="17"/>
      <c r="BV35" s="17"/>
      <c r="BW35" s="17">
        <v>16.672791050785701</v>
      </c>
      <c r="BX35" s="17"/>
      <c r="BY35" s="17">
        <v>19.388041896618098</v>
      </c>
      <c r="BZ35" s="17">
        <v>51.385225301918403</v>
      </c>
      <c r="CA35" s="17"/>
      <c r="CB35" s="17">
        <v>1440</v>
      </c>
      <c r="CC35" s="17"/>
      <c r="CD35" s="17">
        <v>120</v>
      </c>
      <c r="CE35" s="17"/>
      <c r="CF35" s="17">
        <v>0</v>
      </c>
      <c r="CG35" s="17"/>
      <c r="CH35" s="17">
        <v>0</v>
      </c>
      <c r="CI35" s="17">
        <v>0</v>
      </c>
      <c r="CJ35" s="17"/>
      <c r="CK35" t="e">
        <f>SQRT(((2*[1]Sheet1!$G$24/2*BC35)/[1]Sheet1!$N$30*((1-([1]Sheet2!$BQ$879*[1]Sheet2!$BQ$881))*[1]Sheet2!$BQ$885/([1]Sheet2!$BQ$882*[1]Sheet2!$BQ$881))*60*29.37))</f>
        <v>#DIV/0!</v>
      </c>
      <c r="CM35" s="430">
        <v>0</v>
      </c>
      <c r="CN35" s="431">
        <v>4599786</v>
      </c>
      <c r="CO35" s="686">
        <v>0</v>
      </c>
      <c r="CP35" s="433">
        <v>0</v>
      </c>
      <c r="CQ35" t="e">
        <f t="shared" si="0"/>
        <v>#DIV/0!</v>
      </c>
      <c r="CR35" t="e">
        <f>((([1]Sheet1!$N$29/CH35)-1)*LN(CK35/([1]Sheet1!$G$24/2)))</f>
        <v>#DIV/0!</v>
      </c>
    </row>
    <row r="36" spans="1:96" ht="18.75" x14ac:dyDescent="0.3">
      <c r="A36" s="17"/>
      <c r="B36" s="17"/>
      <c r="C36" s="17"/>
      <c r="D36" s="17"/>
      <c r="E36" s="265"/>
      <c r="F36" s="801">
        <v>7</v>
      </c>
      <c r="G36" s="795">
        <v>60</v>
      </c>
      <c r="H36" s="739">
        <v>2.5</v>
      </c>
      <c r="I36" s="739">
        <v>4.75</v>
      </c>
      <c r="J36" s="802" t="s">
        <v>78</v>
      </c>
      <c r="K36" s="17"/>
      <c r="L36" s="786" t="s">
        <v>104</v>
      </c>
      <c r="M36" s="764"/>
      <c r="N36" s="803">
        <v>3.1496</v>
      </c>
      <c r="O36" s="787" t="s">
        <v>237</v>
      </c>
      <c r="P36" s="17"/>
      <c r="Q36" s="804">
        <v>7</v>
      </c>
      <c r="R36" s="809" t="s">
        <v>327</v>
      </c>
      <c r="S36" s="799">
        <v>4</v>
      </c>
      <c r="T36" s="800">
        <v>11.76</v>
      </c>
      <c r="U36" s="17"/>
      <c r="V36" s="17"/>
      <c r="W36" s="17"/>
      <c r="X36" s="17"/>
      <c r="Y36" s="813">
        <v>600</v>
      </c>
      <c r="Z36" s="814">
        <v>59</v>
      </c>
      <c r="AA36" s="452"/>
      <c r="AB36" s="17">
        <v>0</v>
      </c>
      <c r="AC36" s="17"/>
      <c r="AD36" s="17"/>
      <c r="AE36" s="17"/>
      <c r="AF36" s="17"/>
      <c r="AG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400">
        <v>315.70868449145701</v>
      </c>
      <c r="AW36" s="17">
        <v>27.8371824208178</v>
      </c>
      <c r="AX36" s="17"/>
      <c r="AY36" s="17">
        <v>0</v>
      </c>
      <c r="AZ36" s="17">
        <v>0</v>
      </c>
      <c r="BA36" s="17"/>
      <c r="BB36" s="101">
        <v>17.117699883290999</v>
      </c>
      <c r="BC36" s="17">
        <v>215</v>
      </c>
      <c r="BD36" s="102">
        <v>0</v>
      </c>
      <c r="BE36" s="9">
        <v>0</v>
      </c>
      <c r="BF36" s="9">
        <v>0</v>
      </c>
      <c r="BG36" s="17">
        <v>0</v>
      </c>
      <c r="BH36" s="17">
        <v>0</v>
      </c>
      <c r="BI36" s="17">
        <v>0</v>
      </c>
      <c r="BJ36" s="17">
        <v>0</v>
      </c>
      <c r="BK36" s="17">
        <v>0</v>
      </c>
      <c r="BL36" s="17">
        <v>0</v>
      </c>
      <c r="BM36" s="17">
        <v>0</v>
      </c>
      <c r="BN36" s="17"/>
      <c r="BO36" s="17"/>
      <c r="BP36" s="17"/>
      <c r="BQ36" s="17"/>
      <c r="BR36" s="17">
        <v>23.1832320006197</v>
      </c>
      <c r="BS36" s="17"/>
      <c r="BT36" s="17">
        <v>0</v>
      </c>
      <c r="BU36" s="17"/>
      <c r="BV36" s="17"/>
      <c r="BW36" s="17">
        <v>17.117699883290999</v>
      </c>
      <c r="BX36" s="17"/>
      <c r="BY36" s="17">
        <v>19.855290656461801</v>
      </c>
      <c r="BZ36" s="17">
        <v>49.753530458861498</v>
      </c>
      <c r="CA36" s="17"/>
      <c r="CB36" s="17">
        <v>1350</v>
      </c>
      <c r="CC36" s="17"/>
      <c r="CD36" s="17">
        <v>112.5</v>
      </c>
      <c r="CE36" s="17"/>
      <c r="CF36" s="17">
        <v>0</v>
      </c>
      <c r="CG36" s="17"/>
      <c r="CH36" s="17">
        <v>0</v>
      </c>
      <c r="CI36" s="17">
        <v>0</v>
      </c>
      <c r="CJ36" s="17"/>
      <c r="CK36" t="e">
        <f>SQRT(((2*[1]Sheet1!$G$24/2*BC36)/[1]Sheet1!$N$30*((1-([1]Sheet2!$BQ$879*[1]Sheet2!$BQ$881))*[1]Sheet2!$BQ$885/([1]Sheet2!$BQ$882*[1]Sheet2!$BQ$881))*60*29.37))</f>
        <v>#DIV/0!</v>
      </c>
      <c r="CM36" s="430">
        <v>0</v>
      </c>
      <c r="CN36" s="431">
        <v>4599786</v>
      </c>
      <c r="CO36" s="686">
        <v>0</v>
      </c>
      <c r="CP36" s="433">
        <v>0</v>
      </c>
      <c r="CQ36" t="e">
        <f t="shared" si="0"/>
        <v>#DIV/0!</v>
      </c>
      <c r="CR36" t="e">
        <f>((([1]Sheet1!$N$29/CH36)-1)*LN(CK36/([1]Sheet1!$G$24/2)))</f>
        <v>#DIV/0!</v>
      </c>
    </row>
    <row r="37" spans="1:96" ht="18.75" x14ac:dyDescent="0.3">
      <c r="A37" s="77" t="s">
        <v>36</v>
      </c>
      <c r="B37" s="479"/>
      <c r="C37" s="527">
        <v>13890</v>
      </c>
      <c r="D37" s="499" t="s">
        <v>42</v>
      </c>
      <c r="E37" s="17"/>
      <c r="F37" s="801">
        <v>8</v>
      </c>
      <c r="G37" s="795">
        <v>2</v>
      </c>
      <c r="H37" s="739">
        <v>2.5</v>
      </c>
      <c r="I37" s="739">
        <v>4.75</v>
      </c>
      <c r="J37" s="802" t="s">
        <v>82</v>
      </c>
      <c r="K37" s="17"/>
      <c r="L37" s="815" t="s">
        <v>105</v>
      </c>
      <c r="M37" s="771"/>
      <c r="N37" s="792">
        <v>2.794</v>
      </c>
      <c r="O37" s="816" t="s">
        <v>237</v>
      </c>
      <c r="P37" s="17"/>
      <c r="Q37" s="817">
        <v>8</v>
      </c>
      <c r="R37" s="818" t="s">
        <v>328</v>
      </c>
      <c r="S37" s="799">
        <v>1</v>
      </c>
      <c r="T37" s="800">
        <v>11.76</v>
      </c>
      <c r="U37" s="17"/>
      <c r="V37" s="17"/>
      <c r="W37" s="17"/>
      <c r="X37" s="17"/>
      <c r="Y37" s="819">
        <v>300</v>
      </c>
      <c r="Z37" s="820">
        <v>37</v>
      </c>
      <c r="AA37" s="469"/>
      <c r="AB37" s="17"/>
      <c r="AC37" s="17"/>
      <c r="AD37" s="17"/>
      <c r="AE37" s="17"/>
      <c r="AF37" s="17"/>
      <c r="AG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400">
        <v>316.32769858857603</v>
      </c>
      <c r="AW37" s="17">
        <v>27.218168323698301</v>
      </c>
      <c r="AX37" s="17"/>
      <c r="AY37" s="17">
        <v>0</v>
      </c>
      <c r="AZ37" s="17">
        <v>0</v>
      </c>
      <c r="BA37" s="17"/>
      <c r="BB37" s="101">
        <v>17.552487617407401</v>
      </c>
      <c r="BC37" s="17">
        <v>225</v>
      </c>
      <c r="BD37" s="102">
        <v>0</v>
      </c>
      <c r="BE37" s="9">
        <v>0</v>
      </c>
      <c r="BF37" s="9">
        <v>0</v>
      </c>
      <c r="BG37" s="17">
        <v>0</v>
      </c>
      <c r="BH37" s="17">
        <v>0</v>
      </c>
      <c r="BI37" s="17">
        <v>0</v>
      </c>
      <c r="BJ37" s="17">
        <v>0</v>
      </c>
      <c r="BK37" s="17">
        <v>0</v>
      </c>
      <c r="BL37" s="17">
        <v>0</v>
      </c>
      <c r="BM37" s="17">
        <v>0</v>
      </c>
      <c r="BN37" s="17"/>
      <c r="BO37" s="17"/>
      <c r="BP37" s="17"/>
      <c r="BQ37" s="17"/>
      <c r="BR37" s="17">
        <v>23.707422579081399</v>
      </c>
      <c r="BS37" s="17"/>
      <c r="BT37" s="17">
        <v>0</v>
      </c>
      <c r="BU37" s="17"/>
      <c r="BV37" s="17"/>
      <c r="BW37" s="17">
        <v>17.552487617407401</v>
      </c>
      <c r="BX37" s="17"/>
      <c r="BY37" s="17">
        <v>20.311793754371902</v>
      </c>
      <c r="BZ37" s="17">
        <v>48.066476955491503</v>
      </c>
      <c r="CA37" s="17"/>
      <c r="CB37" s="17">
        <v>1260</v>
      </c>
      <c r="CC37" s="17"/>
      <c r="CD37" s="17">
        <v>105</v>
      </c>
      <c r="CE37" s="17"/>
      <c r="CF37" s="17">
        <v>0</v>
      </c>
      <c r="CG37" s="17"/>
      <c r="CH37" s="17">
        <v>0</v>
      </c>
      <c r="CI37" s="17">
        <v>0</v>
      </c>
      <c r="CJ37" s="17"/>
      <c r="CK37" t="e">
        <f>SQRT(((2*[1]Sheet1!$G$24/2*BC37)/[1]Sheet1!$N$30*((1-([1]Sheet2!$BQ$879*[1]Sheet2!$BQ$881))*[1]Sheet2!$BQ$885/([1]Sheet2!$BQ$882*[1]Sheet2!$BQ$881))*60*29.37))</f>
        <v>#DIV/0!</v>
      </c>
      <c r="CM37" s="430">
        <v>0</v>
      </c>
      <c r="CN37" s="431">
        <v>4599786</v>
      </c>
      <c r="CO37" s="686">
        <v>0</v>
      </c>
      <c r="CP37" s="433">
        <v>0</v>
      </c>
      <c r="CQ37" t="e">
        <f t="shared" si="0"/>
        <v>#DIV/0!</v>
      </c>
      <c r="CR37" t="e">
        <f>((([1]Sheet1!$N$29/CH37)-1)*LN(CK37/([1]Sheet1!$G$24/2)))</f>
        <v>#DIV/0!</v>
      </c>
    </row>
    <row r="38" spans="1:96" ht="18.75" x14ac:dyDescent="0.3">
      <c r="A38" s="84" t="s">
        <v>47</v>
      </c>
      <c r="B38" s="506"/>
      <c r="C38" s="527">
        <v>6.28</v>
      </c>
      <c r="D38" s="508" t="s">
        <v>229</v>
      </c>
      <c r="E38" s="17"/>
      <c r="F38" s="801">
        <v>9</v>
      </c>
      <c r="G38" s="795">
        <v>10</v>
      </c>
      <c r="H38" s="739">
        <v>2.5</v>
      </c>
      <c r="I38" s="739">
        <v>4.75</v>
      </c>
      <c r="J38" s="802" t="s">
        <v>78</v>
      </c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400">
        <v>317.963099388074</v>
      </c>
      <c r="AW38" s="17">
        <v>25.582767524200602</v>
      </c>
      <c r="AX38" s="17"/>
      <c r="AY38" s="17">
        <v>0</v>
      </c>
      <c r="AZ38" s="17">
        <v>0</v>
      </c>
      <c r="BA38" s="17"/>
      <c r="BB38" s="101">
        <v>18.802397497228998</v>
      </c>
      <c r="BC38" s="17">
        <v>255</v>
      </c>
      <c r="BD38" s="102">
        <v>0</v>
      </c>
      <c r="BE38" s="9">
        <v>0</v>
      </c>
      <c r="BF38" s="9">
        <v>0</v>
      </c>
      <c r="BG38" s="17">
        <v>0</v>
      </c>
      <c r="BH38" s="17">
        <v>0</v>
      </c>
      <c r="BI38" s="17">
        <v>0</v>
      </c>
      <c r="BJ38" s="17">
        <v>0</v>
      </c>
      <c r="BK38" s="17">
        <v>0</v>
      </c>
      <c r="BL38" s="17">
        <v>0</v>
      </c>
      <c r="BM38" s="17">
        <v>0</v>
      </c>
      <c r="BN38" s="17"/>
      <c r="BO38" s="17"/>
      <c r="BP38" s="17"/>
      <c r="BQ38" s="17"/>
      <c r="BR38" s="17">
        <v>25.214694195823402</v>
      </c>
      <c r="BS38" s="17"/>
      <c r="BT38" s="17">
        <v>0</v>
      </c>
      <c r="BU38" s="17"/>
      <c r="BV38" s="17"/>
      <c r="BW38" s="17">
        <v>18.802397497228998</v>
      </c>
      <c r="BX38" s="17"/>
      <c r="BY38" s="17">
        <v>21.6235556956489</v>
      </c>
      <c r="BZ38" s="17">
        <v>46.318016156834098</v>
      </c>
      <c r="CA38" s="17"/>
      <c r="CB38" s="17">
        <v>1170</v>
      </c>
      <c r="CC38" s="17"/>
      <c r="CD38" s="17">
        <v>97.5</v>
      </c>
      <c r="CE38" s="17"/>
      <c r="CF38" s="17">
        <v>0</v>
      </c>
      <c r="CG38" s="17"/>
      <c r="CH38" s="17">
        <v>0</v>
      </c>
      <c r="CI38" s="17">
        <v>0</v>
      </c>
      <c r="CJ38" s="17"/>
      <c r="CK38" t="e">
        <f>SQRT(((2*[1]Sheet1!$G$24/2*BC38)/[1]Sheet1!$N$30*((1-([1]Sheet2!$BQ$879*[1]Sheet2!$BQ$881))*[1]Sheet2!$BQ$885/([1]Sheet2!$BQ$882*[1]Sheet2!$BQ$881))*60*29.37))</f>
        <v>#DIV/0!</v>
      </c>
      <c r="CM38" s="430">
        <v>0</v>
      </c>
      <c r="CN38" s="431">
        <v>4599786</v>
      </c>
      <c r="CO38" s="686">
        <v>0</v>
      </c>
      <c r="CP38" s="433">
        <v>0</v>
      </c>
      <c r="CQ38" t="e">
        <f t="shared" si="0"/>
        <v>#DIV/0!</v>
      </c>
      <c r="CR38" t="e">
        <f>((([1]Sheet1!$N$29/CH38)-1)*LN(CK38/([1]Sheet1!$G$24/2)))</f>
        <v>#DIV/0!</v>
      </c>
    </row>
    <row r="39" spans="1:96" ht="18.75" x14ac:dyDescent="0.3">
      <c r="A39" s="91" t="s">
        <v>40</v>
      </c>
      <c r="B39" s="513"/>
      <c r="C39" s="527">
        <v>7</v>
      </c>
      <c r="D39" s="508" t="s">
        <v>229</v>
      </c>
      <c r="E39" s="17"/>
      <c r="F39" s="801">
        <v>10</v>
      </c>
      <c r="G39" s="795">
        <v>210</v>
      </c>
      <c r="H39" s="739">
        <v>2.5</v>
      </c>
      <c r="I39" s="739">
        <v>4.75</v>
      </c>
      <c r="J39" s="802" t="s">
        <v>85</v>
      </c>
      <c r="K39" s="17"/>
      <c r="L39" s="17"/>
      <c r="M39" s="17"/>
      <c r="N39" s="17"/>
      <c r="O39" s="17"/>
      <c r="P39" s="17"/>
      <c r="Q39" s="17"/>
      <c r="R39" s="17">
        <v>2399.04</v>
      </c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400">
        <v>321.83537919670999</v>
      </c>
      <c r="AW39" s="17">
        <v>21.710487715564</v>
      </c>
      <c r="AX39" s="17"/>
      <c r="AY39" s="17">
        <v>0</v>
      </c>
      <c r="AZ39" s="17">
        <v>0</v>
      </c>
      <c r="BA39" s="17"/>
      <c r="BB39" s="101">
        <v>22.512710450816101</v>
      </c>
      <c r="BC39" s="17">
        <v>355</v>
      </c>
      <c r="BD39" s="102">
        <v>0</v>
      </c>
      <c r="BE39" s="9">
        <v>0</v>
      </c>
      <c r="BF39" s="9">
        <v>0</v>
      </c>
      <c r="BG39" s="17">
        <v>0</v>
      </c>
      <c r="BH39" s="17">
        <v>0</v>
      </c>
      <c r="BI39" s="17">
        <v>0</v>
      </c>
      <c r="BJ39" s="17">
        <v>0</v>
      </c>
      <c r="BK39" s="17">
        <v>0</v>
      </c>
      <c r="BL39" s="17">
        <v>0</v>
      </c>
      <c r="BM39" s="17">
        <v>0</v>
      </c>
      <c r="BN39" s="17"/>
      <c r="BO39" s="17"/>
      <c r="BP39" s="17"/>
      <c r="BQ39" s="17"/>
      <c r="BR39" s="17">
        <v>29.691365695682201</v>
      </c>
      <c r="BS39" s="17"/>
      <c r="BT39" s="17">
        <v>0</v>
      </c>
      <c r="BU39" s="17"/>
      <c r="BV39" s="17"/>
      <c r="BW39" s="17">
        <v>22.512710450816101</v>
      </c>
      <c r="BX39" s="17"/>
      <c r="BY39" s="17">
        <v>25.5135678727701</v>
      </c>
      <c r="BZ39" s="17">
        <v>44.500910490648202</v>
      </c>
      <c r="CA39" s="17"/>
      <c r="CB39" s="17">
        <v>1080</v>
      </c>
      <c r="CC39" s="17"/>
      <c r="CD39" s="17">
        <v>90</v>
      </c>
      <c r="CE39" s="17"/>
      <c r="CF39" s="17">
        <v>0</v>
      </c>
      <c r="CG39" s="17"/>
      <c r="CH39" s="17">
        <v>0</v>
      </c>
      <c r="CI39" s="17">
        <v>0</v>
      </c>
      <c r="CJ39" s="17"/>
      <c r="CK39" t="e">
        <f>SQRT(((2*[1]Sheet1!$G$24/2*BC39)/[1]Sheet1!$N$30*((1-([1]Sheet2!$BQ$879*[1]Sheet2!$BQ$881))*[1]Sheet2!$BQ$885/([1]Sheet2!$BQ$882*[1]Sheet2!$BQ$881))*60*29.37))</f>
        <v>#DIV/0!</v>
      </c>
      <c r="CM39" s="430">
        <v>0</v>
      </c>
      <c r="CN39" s="431">
        <v>4599786</v>
      </c>
      <c r="CO39" s="686">
        <v>0</v>
      </c>
      <c r="CP39" s="433">
        <v>0</v>
      </c>
      <c r="CQ39" t="e">
        <f t="shared" si="0"/>
        <v>#DIV/0!</v>
      </c>
      <c r="CR39" t="e">
        <f>((([1]Sheet1!$N$29/CH39)-1)*LN(CK39/([1]Sheet1!$G$24/2)))</f>
        <v>#DIV/0!</v>
      </c>
    </row>
    <row r="40" spans="1:96" ht="18.75" x14ac:dyDescent="0.3">
      <c r="A40" s="17"/>
      <c r="B40" s="17"/>
      <c r="C40" s="17"/>
      <c r="D40" s="17"/>
      <c r="E40" s="17"/>
      <c r="F40" s="821">
        <v>11</v>
      </c>
      <c r="G40" s="795">
        <v>6</v>
      </c>
      <c r="H40" s="739">
        <v>2.5</v>
      </c>
      <c r="I40" s="739">
        <v>4.75</v>
      </c>
      <c r="J40" s="822" t="s">
        <v>86</v>
      </c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400">
        <v>324.35493817157999</v>
      </c>
      <c r="AW40" s="17">
        <v>19.190928740694101</v>
      </c>
      <c r="AX40" s="17"/>
      <c r="AY40" s="17">
        <v>0</v>
      </c>
      <c r="AZ40" s="17">
        <v>0</v>
      </c>
      <c r="BA40" s="17"/>
      <c r="BB40" s="101">
        <v>25.7309611383807</v>
      </c>
      <c r="BC40" s="17">
        <v>455</v>
      </c>
      <c r="BD40" s="102">
        <v>0</v>
      </c>
      <c r="BE40" s="9">
        <v>0</v>
      </c>
      <c r="BF40" s="9">
        <v>0</v>
      </c>
      <c r="BG40" s="17">
        <v>0</v>
      </c>
      <c r="BH40" s="17">
        <v>0</v>
      </c>
      <c r="BI40" s="17">
        <v>0</v>
      </c>
      <c r="BJ40" s="17">
        <v>0</v>
      </c>
      <c r="BK40" s="17">
        <v>0</v>
      </c>
      <c r="BL40" s="17">
        <v>0</v>
      </c>
      <c r="BM40" s="17">
        <v>0</v>
      </c>
      <c r="BN40" s="17"/>
      <c r="BO40" s="17"/>
      <c r="BP40" s="17"/>
      <c r="BQ40" s="17"/>
      <c r="BR40" s="17">
        <v>33.576384414653297</v>
      </c>
      <c r="BS40" s="17"/>
      <c r="BT40" s="17">
        <v>0</v>
      </c>
      <c r="BU40" s="17"/>
      <c r="BV40" s="17"/>
      <c r="BW40" s="17">
        <v>25.7309611383807</v>
      </c>
      <c r="BX40" s="17"/>
      <c r="BY40" s="17">
        <v>28.884357882322199</v>
      </c>
      <c r="BZ40" s="17">
        <v>42.606378023585002</v>
      </c>
      <c r="CA40" s="17"/>
      <c r="CB40" s="17">
        <v>990</v>
      </c>
      <c r="CC40" s="17"/>
      <c r="CD40" s="17">
        <v>82.5</v>
      </c>
      <c r="CE40" s="17"/>
      <c r="CF40" s="17">
        <v>0</v>
      </c>
      <c r="CG40" s="17"/>
      <c r="CH40" s="17">
        <v>0</v>
      </c>
      <c r="CI40" s="17">
        <v>0</v>
      </c>
      <c r="CJ40" s="17"/>
      <c r="CK40" t="e">
        <f>SQRT(((2*[1]Sheet1!$G$24/2*BC40)/[1]Sheet1!$N$30*((1-([1]Sheet2!$BQ$879*[1]Sheet2!$BQ$881))*[1]Sheet2!$BQ$885/([1]Sheet2!$BQ$882*[1]Sheet2!$BQ$881))*60*29.37))</f>
        <v>#DIV/0!</v>
      </c>
      <c r="CM40" s="430">
        <v>0</v>
      </c>
      <c r="CN40" s="431">
        <v>4599786</v>
      </c>
      <c r="CO40" s="686">
        <v>0</v>
      </c>
      <c r="CP40" s="433">
        <v>0</v>
      </c>
      <c r="CQ40" t="e">
        <f t="shared" si="0"/>
        <v>#DIV/0!</v>
      </c>
      <c r="CR40" t="e">
        <f>((([1]Sheet1!$N$29/CH40)-1)*LN(CK40/([1]Sheet1!$G$24/2)))</f>
        <v>#DIV/0!</v>
      </c>
    </row>
    <row r="41" spans="1:96" ht="15.75" x14ac:dyDescent="0.25">
      <c r="A41" s="107" t="s">
        <v>60</v>
      </c>
      <c r="B41" s="516"/>
      <c r="C41" s="527">
        <v>3.5</v>
      </c>
      <c r="D41" s="17"/>
      <c r="E41" s="17"/>
      <c r="F41" s="17"/>
      <c r="G41" s="719">
        <v>754</v>
      </c>
      <c r="H41" s="720"/>
      <c r="I41" s="720"/>
      <c r="J41" s="720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400">
        <v>326.16150287685599</v>
      </c>
      <c r="AW41" s="17">
        <v>17.3843640354185</v>
      </c>
      <c r="AX41" s="17"/>
      <c r="AY41" s="17">
        <v>0</v>
      </c>
      <c r="AZ41" s="17">
        <v>0</v>
      </c>
      <c r="BA41" s="17"/>
      <c r="BB41" s="101">
        <v>28.612733260380601</v>
      </c>
      <c r="BC41" s="17">
        <v>555</v>
      </c>
      <c r="BD41" s="102">
        <v>0</v>
      </c>
      <c r="BE41" s="9">
        <v>0</v>
      </c>
      <c r="BF41" s="9">
        <v>0</v>
      </c>
      <c r="BG41" s="17">
        <v>0</v>
      </c>
      <c r="BH41" s="17">
        <v>0</v>
      </c>
      <c r="BI41" s="17">
        <v>0</v>
      </c>
      <c r="BJ41" s="17">
        <v>0</v>
      </c>
      <c r="BK41" s="17">
        <v>0</v>
      </c>
      <c r="BL41" s="17">
        <v>0</v>
      </c>
      <c r="BM41" s="17">
        <v>0</v>
      </c>
      <c r="BN41" s="17"/>
      <c r="BO41" s="17"/>
      <c r="BP41" s="17"/>
      <c r="BQ41" s="17"/>
      <c r="BR41" s="17">
        <v>37.0563082868007</v>
      </c>
      <c r="BS41" s="17"/>
      <c r="BT41" s="17">
        <v>0</v>
      </c>
      <c r="BU41" s="17"/>
      <c r="BV41" s="17"/>
      <c r="BW41" s="17">
        <v>28.612733260380601</v>
      </c>
      <c r="BX41" s="17"/>
      <c r="BY41" s="17">
        <v>31.9009422266755</v>
      </c>
      <c r="BZ41" s="17">
        <v>40.848650657618201</v>
      </c>
      <c r="CA41" s="17"/>
      <c r="CB41" s="17">
        <v>910</v>
      </c>
      <c r="CC41" s="17"/>
      <c r="CD41" s="17">
        <v>75.8333333333333</v>
      </c>
      <c r="CE41" s="17"/>
      <c r="CF41" s="17">
        <v>0</v>
      </c>
      <c r="CG41" s="17"/>
      <c r="CH41" s="17">
        <v>0</v>
      </c>
      <c r="CI41" s="17">
        <v>0</v>
      </c>
      <c r="CJ41" s="17"/>
      <c r="CK41" t="e">
        <f>SQRT(((2*[1]Sheet1!$G$24/2*BC41)/[1]Sheet1!$N$30*((1-([1]Sheet2!$BQ$879*[1]Sheet2!$BQ$881))*[1]Sheet2!$BQ$885/([1]Sheet2!$BQ$882*[1]Sheet2!$BQ$881))*60*29.37))</f>
        <v>#DIV/0!</v>
      </c>
      <c r="CM41" s="430">
        <v>0</v>
      </c>
      <c r="CN41" s="431">
        <v>4599786</v>
      </c>
      <c r="CO41" s="686">
        <v>0</v>
      </c>
      <c r="CP41" s="433">
        <v>0</v>
      </c>
      <c r="CQ41" t="e">
        <f t="shared" si="0"/>
        <v>#DIV/0!</v>
      </c>
      <c r="CR41" t="e">
        <f>((([1]Sheet1!$N$29/CH41)-1)*LN(CK41/([1]Sheet1!$G$24/2)))</f>
        <v>#DIV/0!</v>
      </c>
    </row>
    <row r="42" spans="1:96" ht="15.75" x14ac:dyDescent="0.25">
      <c r="A42" s="84" t="s">
        <v>62</v>
      </c>
      <c r="B42" s="525"/>
      <c r="C42" s="527">
        <v>2.76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400">
        <v>327.53826780189502</v>
      </c>
      <c r="AW42" s="17">
        <v>16.007599110379299</v>
      </c>
      <c r="AX42" s="17"/>
      <c r="AY42" s="17">
        <v>0</v>
      </c>
      <c r="AZ42" s="17">
        <v>0</v>
      </c>
      <c r="BA42" s="17"/>
      <c r="BB42" s="101">
        <v>31.245641363704198</v>
      </c>
      <c r="BC42" s="17">
        <v>655</v>
      </c>
      <c r="BD42" s="102">
        <v>0</v>
      </c>
      <c r="BE42" s="9">
        <v>0</v>
      </c>
      <c r="BF42" s="9">
        <v>0</v>
      </c>
      <c r="BG42" s="17">
        <v>0</v>
      </c>
      <c r="BH42" s="17">
        <v>0</v>
      </c>
      <c r="BI42" s="17">
        <v>0</v>
      </c>
      <c r="BJ42" s="17">
        <v>0</v>
      </c>
      <c r="BK42" s="17">
        <v>0</v>
      </c>
      <c r="BL42" s="17">
        <v>0</v>
      </c>
      <c r="BM42" s="17">
        <v>0</v>
      </c>
      <c r="BN42" s="17"/>
      <c r="BO42" s="17"/>
      <c r="BP42" s="17"/>
      <c r="BQ42" s="17"/>
      <c r="BR42" s="17">
        <v>40.236381265370397</v>
      </c>
      <c r="BS42" s="17"/>
      <c r="BT42" s="17">
        <v>0</v>
      </c>
      <c r="BU42" s="17"/>
      <c r="BV42" s="17"/>
      <c r="BW42" s="17">
        <v>31.245641363704198</v>
      </c>
      <c r="BX42" s="17"/>
      <c r="BY42" s="17">
        <v>34.655938879581697</v>
      </c>
      <c r="BZ42" s="17">
        <v>39.011806838540998</v>
      </c>
      <c r="CA42" s="17"/>
      <c r="CB42" s="17">
        <v>830</v>
      </c>
      <c r="CC42" s="17"/>
      <c r="CD42" s="17">
        <v>69.1666666666667</v>
      </c>
      <c r="CE42" s="17"/>
      <c r="CF42" s="17">
        <v>0</v>
      </c>
      <c r="CG42" s="17"/>
      <c r="CH42" s="17">
        <v>0</v>
      </c>
      <c r="CI42" s="17">
        <v>0</v>
      </c>
      <c r="CJ42" s="17"/>
      <c r="CK42" t="e">
        <f>SQRT(((2*[1]Sheet1!$G$24/2*BC42)/[1]Sheet1!$N$30*((1-([1]Sheet2!$BQ$879*[1]Sheet2!$BQ$881))*[1]Sheet2!$BQ$885/([1]Sheet2!$BQ$882*[1]Sheet2!$BQ$881))*60*29.37))</f>
        <v>#DIV/0!</v>
      </c>
      <c r="CM42" s="430">
        <v>0</v>
      </c>
      <c r="CN42" s="431">
        <v>4599786</v>
      </c>
      <c r="CO42" s="686">
        <v>0</v>
      </c>
      <c r="CP42" s="433">
        <v>0</v>
      </c>
      <c r="CQ42" t="e">
        <f t="shared" si="0"/>
        <v>#DIV/0!</v>
      </c>
      <c r="CR42" t="e">
        <f>((([1]Sheet1!$N$29/CH42)-1)*LN(CK42/([1]Sheet1!$G$24/2)))</f>
        <v>#DIV/0!</v>
      </c>
    </row>
    <row r="43" spans="1:96" ht="15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9"/>
      <c r="M43" s="9"/>
      <c r="N43" s="9"/>
      <c r="O43" s="9"/>
      <c r="P43" s="9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400">
        <v>328.63243877290103</v>
      </c>
      <c r="AW43" s="17">
        <v>14.9134281393734</v>
      </c>
      <c r="AX43" s="17"/>
      <c r="AY43" s="17">
        <v>0</v>
      </c>
      <c r="AZ43" s="17">
        <v>0</v>
      </c>
      <c r="BA43" s="17"/>
      <c r="BB43" s="101">
        <v>33.684813320190898</v>
      </c>
      <c r="BC43" s="17">
        <v>755</v>
      </c>
      <c r="BD43" s="102">
        <v>0</v>
      </c>
      <c r="BE43" s="9">
        <v>0</v>
      </c>
      <c r="BF43" s="9">
        <v>0</v>
      </c>
      <c r="BG43" s="17">
        <v>0</v>
      </c>
      <c r="BH43" s="17">
        <v>0</v>
      </c>
      <c r="BI43" s="17">
        <v>0</v>
      </c>
      <c r="BJ43" s="17">
        <v>0</v>
      </c>
      <c r="BK43" s="17">
        <v>0</v>
      </c>
      <c r="BL43" s="17">
        <v>0</v>
      </c>
      <c r="BM43" s="17">
        <v>0</v>
      </c>
      <c r="BN43" s="17"/>
      <c r="BO43" s="17"/>
      <c r="BP43" s="17"/>
      <c r="BQ43" s="17"/>
      <c r="BR43" s="17">
        <v>43.1828990552752</v>
      </c>
      <c r="BS43" s="17"/>
      <c r="BT43" s="17">
        <v>0</v>
      </c>
      <c r="BU43" s="17"/>
      <c r="BV43" s="17"/>
      <c r="BW43" s="17">
        <v>33.684813320190898</v>
      </c>
      <c r="BX43" s="17"/>
      <c r="BY43" s="17">
        <v>37.207500376952503</v>
      </c>
      <c r="BZ43" s="17">
        <v>37.084092075540198</v>
      </c>
      <c r="CA43" s="17"/>
      <c r="CB43" s="17">
        <v>750</v>
      </c>
      <c r="CC43" s="17"/>
      <c r="CD43" s="17">
        <v>62.5</v>
      </c>
      <c r="CE43" s="17"/>
      <c r="CF43" s="17">
        <v>0</v>
      </c>
      <c r="CG43" s="17"/>
      <c r="CH43" s="17">
        <v>0</v>
      </c>
      <c r="CI43" s="17">
        <v>0</v>
      </c>
      <c r="CJ43" s="17"/>
      <c r="CK43" t="e">
        <f>SQRT(((2*[1]Sheet1!$G$24/2*BC43)/[1]Sheet1!$N$30*((1-([1]Sheet2!$BQ$879*[1]Sheet2!$BQ$881))*[1]Sheet2!$BQ$885/([1]Sheet2!$BQ$882*[1]Sheet2!$BQ$881))*60*29.37))</f>
        <v>#DIV/0!</v>
      </c>
      <c r="CM43" s="430">
        <v>0</v>
      </c>
      <c r="CN43" s="431">
        <v>4599786</v>
      </c>
      <c r="CO43" s="686">
        <v>0</v>
      </c>
      <c r="CP43" s="433">
        <v>0</v>
      </c>
      <c r="CQ43" t="e">
        <f t="shared" ref="CQ43:CQ74" si="1">((CP43*4389120*($D$146^(1+$J$80)))/($J$81*($D$150^$J$80)))*(1.26/(3+1/$J$80))^$J$80</f>
        <v>#DIV/0!</v>
      </c>
      <c r="CR43" t="e">
        <f>((([1]Sheet1!$N$29/CH43)-1)*LN(CK43/([1]Sheet1!$G$24/2)))</f>
        <v>#DIV/0!</v>
      </c>
    </row>
    <row r="44" spans="1:96" ht="15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9"/>
      <c r="M44" s="9"/>
      <c r="N44" s="9"/>
      <c r="O44" s="9"/>
      <c r="P44" s="9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400">
        <v>329.52910499458397</v>
      </c>
      <c r="AW44" s="17">
        <v>14.0167619176902</v>
      </c>
      <c r="AX44" s="17"/>
      <c r="AY44" s="17">
        <v>0</v>
      </c>
      <c r="AZ44" s="17">
        <v>0</v>
      </c>
      <c r="BA44" s="17"/>
      <c r="BB44" s="101">
        <v>35.967606373192702</v>
      </c>
      <c r="BC44" s="17">
        <v>855</v>
      </c>
      <c r="BD44" s="102">
        <v>0</v>
      </c>
      <c r="BE44" s="9">
        <v>0</v>
      </c>
      <c r="BF44" s="9">
        <v>0</v>
      </c>
      <c r="BG44" s="17">
        <v>0</v>
      </c>
      <c r="BH44" s="17">
        <v>0</v>
      </c>
      <c r="BI44" s="17">
        <v>0</v>
      </c>
      <c r="BJ44" s="17">
        <v>0</v>
      </c>
      <c r="BK44" s="17">
        <v>0</v>
      </c>
      <c r="BL44" s="17">
        <v>0</v>
      </c>
      <c r="BM44" s="17">
        <v>0</v>
      </c>
      <c r="BN44" s="17"/>
      <c r="BO44" s="17"/>
      <c r="BP44" s="17"/>
      <c r="BQ44" s="17"/>
      <c r="BR44" s="17">
        <v>45.940822416495003</v>
      </c>
      <c r="BS44" s="17"/>
      <c r="BT44" s="17">
        <v>0</v>
      </c>
      <c r="BU44" s="17"/>
      <c r="BV44" s="17"/>
      <c r="BW44" s="17">
        <v>35.967606373192702</v>
      </c>
      <c r="BX44" s="17"/>
      <c r="BY44" s="17">
        <v>39.594975299607697</v>
      </c>
      <c r="BZ44" s="17">
        <v>35.050516363195698</v>
      </c>
      <c r="CA44" s="17"/>
      <c r="CB44" s="17">
        <v>670</v>
      </c>
      <c r="CC44" s="17"/>
      <c r="CD44" s="17">
        <v>55.8333333333333</v>
      </c>
      <c r="CE44" s="17"/>
      <c r="CF44" s="17">
        <v>0</v>
      </c>
      <c r="CG44" s="17"/>
      <c r="CH44" s="17">
        <v>0</v>
      </c>
      <c r="CI44" s="17">
        <v>0</v>
      </c>
      <c r="CJ44" s="17"/>
      <c r="CK44" t="e">
        <f>SQRT(((2*[1]Sheet1!$G$24/2*BC44)/[1]Sheet1!$N$30*((1-([1]Sheet2!$BQ$879*[1]Sheet2!$BQ$881))*[1]Sheet2!$BQ$885/([1]Sheet2!$BQ$882*[1]Sheet2!$BQ$881))*60*29.37))</f>
        <v>#DIV/0!</v>
      </c>
      <c r="CM44" s="430">
        <v>0</v>
      </c>
      <c r="CN44" s="431">
        <v>4599786</v>
      </c>
      <c r="CO44" s="686">
        <v>0</v>
      </c>
      <c r="CP44" s="433">
        <v>0</v>
      </c>
      <c r="CQ44" t="e">
        <f t="shared" si="1"/>
        <v>#DIV/0!</v>
      </c>
      <c r="CR44" t="e">
        <f>((([1]Sheet1!$N$29/CH44)-1)*LN(CK44/([1]Sheet1!$G$24/2)))</f>
        <v>#DIV/0!</v>
      </c>
    </row>
    <row r="45" spans="1:96" ht="15" x14ac:dyDescent="0.25"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400">
        <v>330.28132760909898</v>
      </c>
      <c r="AW45" s="17">
        <v>13.264539303175701</v>
      </c>
      <c r="AX45" s="17"/>
      <c r="AY45" s="17">
        <v>0</v>
      </c>
      <c r="AZ45" s="17">
        <v>0</v>
      </c>
      <c r="BA45" s="17"/>
      <c r="BB45" s="101">
        <v>38.120722397815001</v>
      </c>
      <c r="BC45" s="17">
        <v>955</v>
      </c>
      <c r="BD45" s="102">
        <v>0</v>
      </c>
      <c r="BE45" s="9">
        <v>0</v>
      </c>
      <c r="BF45" s="9">
        <v>0</v>
      </c>
      <c r="BG45" s="17">
        <v>0</v>
      </c>
      <c r="BH45" s="17">
        <v>0</v>
      </c>
      <c r="BI45" s="17">
        <v>0</v>
      </c>
      <c r="BJ45" s="17">
        <v>0</v>
      </c>
      <c r="BK45" s="17">
        <v>0</v>
      </c>
      <c r="BL45" s="17">
        <v>0</v>
      </c>
      <c r="BM45" s="17">
        <v>0</v>
      </c>
      <c r="BN45" s="17"/>
      <c r="BO45" s="17"/>
      <c r="BP45" s="17"/>
      <c r="BQ45" s="17"/>
      <c r="BR45" s="17">
        <v>48.542306885744203</v>
      </c>
      <c r="BS45" s="17"/>
      <c r="BT45" s="17">
        <v>0</v>
      </c>
      <c r="BU45" s="17"/>
      <c r="BV45" s="17"/>
      <c r="BW45" s="17">
        <v>38.120722397815001</v>
      </c>
      <c r="BX45" s="17"/>
      <c r="BY45" s="17">
        <v>41.846458077741303</v>
      </c>
      <c r="BZ45" s="17">
        <v>32.891450402591701</v>
      </c>
      <c r="CA45" s="17"/>
      <c r="CB45" s="17">
        <v>590</v>
      </c>
      <c r="CC45" s="17"/>
      <c r="CD45" s="17">
        <v>49.1666666666667</v>
      </c>
      <c r="CE45" s="17"/>
      <c r="CF45" s="17">
        <v>0</v>
      </c>
      <c r="CG45" s="17"/>
      <c r="CH45" s="17">
        <v>0</v>
      </c>
      <c r="CI45" s="17">
        <v>0</v>
      </c>
      <c r="CJ45" s="17"/>
      <c r="CK45" t="e">
        <f>SQRT(((2*[1]Sheet1!$G$24/2*BC45)/[1]Sheet1!$N$30*((1-([1]Sheet2!$BQ$879*[1]Sheet2!$BQ$881))*[1]Sheet2!$BQ$885/([1]Sheet2!$BQ$882*[1]Sheet2!$BQ$881))*60*29.37))</f>
        <v>#DIV/0!</v>
      </c>
      <c r="CM45" s="430">
        <v>0</v>
      </c>
      <c r="CN45" s="431">
        <v>4599786</v>
      </c>
      <c r="CO45" s="686">
        <v>0</v>
      </c>
      <c r="CP45" s="433">
        <v>0</v>
      </c>
      <c r="CQ45" t="e">
        <f t="shared" si="1"/>
        <v>#DIV/0!</v>
      </c>
      <c r="CR45" t="e">
        <f>((([1]Sheet1!$N$29/CH45)-1)*LN(CK45/([1]Sheet1!$G$24/2)))</f>
        <v>#DIV/0!</v>
      </c>
    </row>
    <row r="46" spans="1:96" ht="15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400">
        <v>330.92413997133798</v>
      </c>
      <c r="AW46" s="17">
        <v>12.621726940936901</v>
      </c>
      <c r="AX46" s="17"/>
      <c r="AY46" s="17">
        <v>0</v>
      </c>
      <c r="AZ46" s="17">
        <v>0</v>
      </c>
      <c r="BA46" s="17"/>
      <c r="BB46" s="101">
        <v>40.1640320384017</v>
      </c>
      <c r="BC46" s="17">
        <v>1055</v>
      </c>
      <c r="BD46" s="102">
        <v>0</v>
      </c>
      <c r="BE46" s="9">
        <v>0</v>
      </c>
      <c r="BF46" s="9">
        <v>0</v>
      </c>
      <c r="BG46" s="17">
        <v>0</v>
      </c>
      <c r="BH46" s="17">
        <v>0</v>
      </c>
      <c r="BI46" s="17">
        <v>0</v>
      </c>
      <c r="BJ46" s="17">
        <v>0</v>
      </c>
      <c r="BK46" s="17">
        <v>0</v>
      </c>
      <c r="BL46" s="17">
        <v>0</v>
      </c>
      <c r="BM46" s="17">
        <v>0</v>
      </c>
      <c r="BN46" s="17"/>
      <c r="BO46" s="17"/>
      <c r="BP46" s="17"/>
      <c r="BQ46" s="17"/>
      <c r="BR46" s="17">
        <v>51.011292389779797</v>
      </c>
      <c r="BS46" s="17"/>
      <c r="BT46" s="17">
        <v>0</v>
      </c>
      <c r="BU46" s="17"/>
      <c r="BV46" s="17"/>
      <c r="BW46" s="17">
        <v>40.1640320384017</v>
      </c>
      <c r="BX46" s="17"/>
      <c r="BY46" s="17">
        <v>43.982837997652901</v>
      </c>
      <c r="BZ46" s="17">
        <v>30.580325731516599</v>
      </c>
      <c r="CA46" s="17"/>
      <c r="CB46" s="17">
        <v>510</v>
      </c>
      <c r="CC46" s="17"/>
      <c r="CD46" s="17">
        <v>42.5</v>
      </c>
      <c r="CE46" s="17"/>
      <c r="CF46" s="17">
        <v>0</v>
      </c>
      <c r="CG46" s="17"/>
      <c r="CH46" s="17">
        <v>0</v>
      </c>
      <c r="CI46" s="17">
        <v>0</v>
      </c>
      <c r="CJ46" s="17"/>
      <c r="CK46" t="e">
        <f>SQRT(((2*[1]Sheet1!$G$24/2*BC46)/[1]Sheet1!$N$30*((1-([1]Sheet2!$BQ$879*[1]Sheet2!$BQ$881))*[1]Sheet2!$BQ$885/([1]Sheet2!$BQ$882*[1]Sheet2!$BQ$881))*60*29.37))</f>
        <v>#DIV/0!</v>
      </c>
      <c r="CM46" s="430">
        <v>0</v>
      </c>
      <c r="CN46" s="431">
        <v>4599786</v>
      </c>
      <c r="CO46" s="686">
        <v>0</v>
      </c>
      <c r="CP46" s="433">
        <v>0</v>
      </c>
      <c r="CQ46" t="e">
        <f t="shared" si="1"/>
        <v>#DIV/0!</v>
      </c>
      <c r="CR46" t="e">
        <f>((([1]Sheet1!$N$29/CH46)-1)*LN(CK46/([1]Sheet1!$G$24/2)))</f>
        <v>#DIV/0!</v>
      </c>
    </row>
    <row r="47" spans="1:96" ht="15" x14ac:dyDescent="0.25">
      <c r="A47" s="9"/>
      <c r="B47" s="9"/>
      <c r="C47" s="823" t="s">
        <v>5</v>
      </c>
      <c r="D47" s="9"/>
      <c r="E47" s="9"/>
      <c r="F47" s="9"/>
      <c r="G47" s="9"/>
      <c r="H47" s="9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400">
        <v>331.48172817403298</v>
      </c>
      <c r="AW47" s="17">
        <v>12.064138738241599</v>
      </c>
      <c r="AX47" s="17"/>
      <c r="AY47" s="17">
        <v>0</v>
      </c>
      <c r="AZ47" s="17">
        <v>0</v>
      </c>
      <c r="BA47" s="17"/>
      <c r="BB47" s="101">
        <v>42.112796666593198</v>
      </c>
      <c r="BC47" s="17">
        <v>1155</v>
      </c>
      <c r="BD47" s="102">
        <v>0</v>
      </c>
      <c r="BE47" s="9">
        <v>0</v>
      </c>
      <c r="BF47" s="9">
        <v>0</v>
      </c>
      <c r="BG47" s="17">
        <v>0</v>
      </c>
      <c r="BH47" s="17">
        <v>0</v>
      </c>
      <c r="BI47" s="17">
        <v>0</v>
      </c>
      <c r="BJ47" s="17">
        <v>0</v>
      </c>
      <c r="BK47" s="17">
        <v>0</v>
      </c>
      <c r="BL47" s="17">
        <v>0</v>
      </c>
      <c r="BM47" s="17">
        <v>0</v>
      </c>
      <c r="BN47" s="17"/>
      <c r="BO47" s="17"/>
      <c r="BP47" s="17"/>
      <c r="BQ47" s="17"/>
      <c r="BR47" s="17">
        <v>53.366172288833397</v>
      </c>
      <c r="BS47" s="17"/>
      <c r="BT47" s="17">
        <v>0</v>
      </c>
      <c r="BU47" s="17"/>
      <c r="BV47" s="17"/>
      <c r="BW47" s="17">
        <v>42.112796666593198</v>
      </c>
      <c r="BX47" s="17"/>
      <c r="BY47" s="17">
        <v>46.020148011532903</v>
      </c>
      <c r="BZ47" s="17">
        <v>28.0796213312281</v>
      </c>
      <c r="CA47" s="17"/>
      <c r="CB47" s="17">
        <v>430</v>
      </c>
      <c r="CC47" s="17"/>
      <c r="CD47" s="17">
        <v>35.8333333333333</v>
      </c>
      <c r="CE47" s="17"/>
      <c r="CF47" s="17">
        <v>0</v>
      </c>
      <c r="CG47" s="17"/>
      <c r="CH47" s="17">
        <v>0</v>
      </c>
      <c r="CI47" s="17">
        <v>0</v>
      </c>
      <c r="CJ47" s="17"/>
      <c r="CK47" t="e">
        <f>SQRT(((2*[1]Sheet1!$G$24/2*BC47)/[1]Sheet1!$N$30*((1-([1]Sheet2!$BQ$879*[1]Sheet2!$BQ$881))*[1]Sheet2!$BQ$885/([1]Sheet2!$BQ$882*[1]Sheet2!$BQ$881))*60*29.37))</f>
        <v>#DIV/0!</v>
      </c>
      <c r="CM47" s="430">
        <v>0</v>
      </c>
      <c r="CN47" s="431">
        <v>4599786</v>
      </c>
      <c r="CO47" s="686">
        <v>0</v>
      </c>
      <c r="CP47" s="433">
        <v>0</v>
      </c>
      <c r="CQ47" t="e">
        <f t="shared" si="1"/>
        <v>#DIV/0!</v>
      </c>
      <c r="CR47" t="e">
        <f>((([1]Sheet1!$N$29/CH47)-1)*LN(CK47/([1]Sheet1!$G$24/2)))</f>
        <v>#DIV/0!</v>
      </c>
    </row>
    <row r="48" spans="1:96" ht="15" x14ac:dyDescent="0.25">
      <c r="A48" s="824" t="s">
        <v>8</v>
      </c>
      <c r="B48" s="25" t="s">
        <v>9</v>
      </c>
      <c r="C48" s="825" t="s">
        <v>238</v>
      </c>
      <c r="D48" s="826" t="s">
        <v>11</v>
      </c>
      <c r="E48" s="827" t="s">
        <v>239</v>
      </c>
      <c r="F48" s="827" t="s">
        <v>240</v>
      </c>
      <c r="G48" s="827" t="s">
        <v>241</v>
      </c>
      <c r="H48" s="9"/>
      <c r="I48" s="645" t="s">
        <v>242</v>
      </c>
      <c r="J48" s="646">
        <v>22</v>
      </c>
      <c r="K48" s="671">
        <v>112.2</v>
      </c>
      <c r="L48" s="17"/>
      <c r="M48" s="17"/>
      <c r="N48" s="17"/>
      <c r="O48" s="17"/>
      <c r="P48" s="17"/>
      <c r="Q48" s="17"/>
      <c r="R48" s="17"/>
      <c r="S48" s="17"/>
      <c r="T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400">
        <v>331.97139936439601</v>
      </c>
      <c r="AW48" s="17">
        <v>11.574467547877999</v>
      </c>
      <c r="AX48" s="17"/>
      <c r="AY48" s="17">
        <v>0</v>
      </c>
      <c r="AZ48" s="17">
        <v>0</v>
      </c>
      <c r="BA48" s="17"/>
      <c r="BB48" s="101">
        <v>43.979039374056299</v>
      </c>
      <c r="BC48" s="17">
        <v>1255</v>
      </c>
      <c r="BD48" s="102">
        <v>0</v>
      </c>
      <c r="BE48" s="9">
        <v>0</v>
      </c>
      <c r="BF48" s="9">
        <v>0</v>
      </c>
      <c r="BG48" s="17">
        <v>0</v>
      </c>
      <c r="BH48" s="17">
        <v>0</v>
      </c>
      <c r="BI48" s="17">
        <v>0</v>
      </c>
      <c r="BJ48" s="17">
        <v>0</v>
      </c>
      <c r="BK48" s="17">
        <v>0</v>
      </c>
      <c r="BL48" s="17">
        <v>0</v>
      </c>
      <c r="BM48" s="17">
        <v>0</v>
      </c>
      <c r="BN48" s="17"/>
      <c r="BO48" s="17"/>
      <c r="BP48" s="17"/>
      <c r="BQ48" s="17"/>
      <c r="BR48" s="17">
        <v>55.621441353557998</v>
      </c>
      <c r="BS48" s="17"/>
      <c r="BT48" s="17">
        <v>0</v>
      </c>
      <c r="BU48" s="17"/>
      <c r="BV48" s="17"/>
      <c r="BW48" s="17">
        <v>43.979039374056299</v>
      </c>
      <c r="BX48" s="17"/>
      <c r="BY48" s="17">
        <v>47.971012160251703</v>
      </c>
      <c r="BZ48" s="17">
        <v>25.3332577132248</v>
      </c>
      <c r="CA48" s="17"/>
      <c r="CB48" s="17">
        <v>350</v>
      </c>
      <c r="CC48" s="17"/>
      <c r="CD48" s="17">
        <v>29.1666666666667</v>
      </c>
      <c r="CE48" s="17"/>
      <c r="CF48" s="17">
        <v>0</v>
      </c>
      <c r="CG48" s="17"/>
      <c r="CH48" s="17">
        <v>0</v>
      </c>
      <c r="CI48" s="17">
        <v>0</v>
      </c>
      <c r="CJ48" s="17"/>
      <c r="CK48" t="e">
        <f>SQRT(((2*[1]Sheet1!$G$24/2*BC48)/[1]Sheet1!$N$30*((1-([1]Sheet2!$BQ$879*[1]Sheet2!$BQ$881))*[1]Sheet2!$BQ$885/([1]Sheet2!$BQ$882*[1]Sheet2!$BQ$881))*60*29.37))</f>
        <v>#DIV/0!</v>
      </c>
      <c r="CM48" s="430">
        <v>0</v>
      </c>
      <c r="CN48" s="431">
        <v>4599786</v>
      </c>
      <c r="CO48" s="686">
        <v>0</v>
      </c>
      <c r="CP48" s="433">
        <v>0</v>
      </c>
      <c r="CQ48" t="e">
        <f t="shared" si="1"/>
        <v>#DIV/0!</v>
      </c>
      <c r="CR48" t="e">
        <f>((([1]Sheet1!$N$29/CH48)-1)*LN(CK48/([1]Sheet1!$G$24/2)))</f>
        <v>#DIV/0!</v>
      </c>
    </row>
    <row r="49" spans="1:96" ht="15" x14ac:dyDescent="0.25">
      <c r="A49" s="828">
        <v>600</v>
      </c>
      <c r="B49" s="829">
        <v>59</v>
      </c>
      <c r="C49" s="448">
        <v>1021.92</v>
      </c>
      <c r="D49" s="448">
        <v>300.89999999999998</v>
      </c>
      <c r="E49" s="9">
        <v>315.87249269311098</v>
      </c>
      <c r="F49" s="9">
        <v>202.42950249593201</v>
      </c>
      <c r="G49" s="9">
        <v>201.157730175372</v>
      </c>
      <c r="H49" s="9"/>
      <c r="I49" s="417" t="s">
        <v>243</v>
      </c>
      <c r="J49" s="675">
        <v>15</v>
      </c>
      <c r="K49" s="677">
        <v>76.5</v>
      </c>
      <c r="L49" s="17"/>
      <c r="M49" s="17">
        <v>469</v>
      </c>
      <c r="N49">
        <v>13115</v>
      </c>
      <c r="O49">
        <f t="shared" ref="O49:O63" si="2">N49*0.052*9.7</f>
        <v>6615.2060000000001</v>
      </c>
      <c r="P49" s="17">
        <v>37.933388697006301</v>
      </c>
      <c r="Q49" s="9">
        <v>320.49466056121503</v>
      </c>
      <c r="R49" s="17"/>
      <c r="S49" s="17"/>
      <c r="T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400">
        <v>332.40590872287601</v>
      </c>
      <c r="AW49" s="17">
        <v>11.1399581893986</v>
      </c>
      <c r="AX49" s="17"/>
      <c r="AY49" s="17">
        <v>0</v>
      </c>
      <c r="AZ49" s="17">
        <v>0</v>
      </c>
      <c r="BA49" s="17"/>
      <c r="BB49" s="101">
        <v>45.772432361916202</v>
      </c>
      <c r="BC49" s="17">
        <v>1355</v>
      </c>
      <c r="BD49" s="102">
        <v>0</v>
      </c>
      <c r="BE49" s="9">
        <v>0</v>
      </c>
      <c r="BF49" s="9">
        <v>0</v>
      </c>
      <c r="BG49" s="17">
        <v>0</v>
      </c>
      <c r="BH49" s="17">
        <v>0</v>
      </c>
      <c r="BI49" s="17">
        <v>0</v>
      </c>
      <c r="BJ49" s="17">
        <v>0</v>
      </c>
      <c r="BK49" s="17">
        <v>0</v>
      </c>
      <c r="BL49" s="17">
        <v>0</v>
      </c>
      <c r="BM49" s="17">
        <v>0</v>
      </c>
      <c r="BN49" s="17"/>
      <c r="BO49" s="17"/>
      <c r="BP49" s="17"/>
      <c r="BQ49" s="17"/>
      <c r="BR49" s="17">
        <v>57.788763023040502</v>
      </c>
      <c r="BS49" s="17"/>
      <c r="BT49" s="17">
        <v>0</v>
      </c>
      <c r="BU49" s="17"/>
      <c r="BV49" s="17"/>
      <c r="BW49" s="17">
        <v>45.772432361916202</v>
      </c>
      <c r="BX49" s="17"/>
      <c r="BY49" s="17">
        <v>49.8455814727307</v>
      </c>
      <c r="BZ49" s="17">
        <v>22.250455245324101</v>
      </c>
      <c r="CA49" s="17"/>
      <c r="CB49" s="17">
        <v>270</v>
      </c>
      <c r="CC49" s="17"/>
      <c r="CD49" s="17">
        <v>22.5</v>
      </c>
      <c r="CE49" s="17"/>
      <c r="CF49" s="17">
        <v>0</v>
      </c>
      <c r="CG49" s="17"/>
      <c r="CH49" s="17">
        <v>0</v>
      </c>
      <c r="CI49" s="17">
        <v>0</v>
      </c>
      <c r="CJ49" s="17"/>
      <c r="CK49" t="e">
        <f>SQRT(((2*[1]Sheet1!$G$24/2*BC49)/[1]Sheet1!$N$30*((1-([1]Sheet2!$BQ$879*[1]Sheet2!$BQ$881))*[1]Sheet2!$BQ$885/([1]Sheet2!$BQ$882*[1]Sheet2!$BQ$881))*60*29.37))</f>
        <v>#DIV/0!</v>
      </c>
      <c r="CM49" s="430">
        <v>0</v>
      </c>
      <c r="CN49" s="431">
        <v>4599786</v>
      </c>
      <c r="CO49" s="686">
        <v>0</v>
      </c>
      <c r="CP49" s="433">
        <v>0</v>
      </c>
      <c r="CQ49" t="e">
        <f t="shared" si="1"/>
        <v>#DIV/0!</v>
      </c>
      <c r="CR49" t="e">
        <f>((([1]Sheet1!$N$29/CH49)-1)*LN(CK49/([1]Sheet1!$G$24/2)))</f>
        <v>#DIV/0!</v>
      </c>
    </row>
    <row r="50" spans="1:96" ht="15" x14ac:dyDescent="0.25">
      <c r="A50" s="830">
        <v>300</v>
      </c>
      <c r="B50" s="829">
        <v>37</v>
      </c>
      <c r="C50" s="281">
        <v>510.96</v>
      </c>
      <c r="D50" s="281">
        <v>188.7</v>
      </c>
      <c r="E50" s="9">
        <v>196.18624634655501</v>
      </c>
      <c r="F50" s="9">
        <v>188.7</v>
      </c>
      <c r="G50" s="9">
        <v>188.7</v>
      </c>
      <c r="H50" s="9"/>
      <c r="I50" s="672" t="s">
        <v>244</v>
      </c>
      <c r="J50" s="673">
        <v>0.101325143787575</v>
      </c>
      <c r="K50" s="9"/>
      <c r="L50" s="17"/>
      <c r="M50" s="17">
        <v>489</v>
      </c>
      <c r="N50">
        <f t="shared" ref="N50:N62" si="3">N49+20</f>
        <v>13135</v>
      </c>
      <c r="O50">
        <f t="shared" si="2"/>
        <v>6625.293999999999</v>
      </c>
      <c r="P50" s="17">
        <v>39.5510172128701</v>
      </c>
      <c r="Q50" s="9">
        <v>322.11228907707903</v>
      </c>
      <c r="R50" s="17"/>
      <c r="S50" s="17"/>
      <c r="T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400">
        <v>332.794891443918</v>
      </c>
      <c r="AW50" s="17">
        <v>10.7509754683562</v>
      </c>
      <c r="AX50" s="17"/>
      <c r="AY50" s="17">
        <v>0</v>
      </c>
      <c r="AZ50" s="17">
        <v>0</v>
      </c>
      <c r="BA50" s="17"/>
      <c r="BB50" s="101">
        <v>47.500894191788902</v>
      </c>
      <c r="BC50" s="17">
        <v>1455</v>
      </c>
      <c r="BD50" s="102">
        <v>0</v>
      </c>
      <c r="BE50" s="9">
        <v>0</v>
      </c>
      <c r="BF50" s="9">
        <v>0</v>
      </c>
      <c r="BG50" s="17">
        <v>0</v>
      </c>
      <c r="BH50" s="17">
        <v>0</v>
      </c>
      <c r="BI50" s="17">
        <v>0</v>
      </c>
      <c r="BJ50" s="17">
        <v>0</v>
      </c>
      <c r="BK50" s="17">
        <v>0</v>
      </c>
      <c r="BL50" s="17">
        <v>0</v>
      </c>
      <c r="BM50" s="17">
        <v>0</v>
      </c>
      <c r="BN50" s="17"/>
      <c r="BO50" s="17"/>
      <c r="BP50" s="17"/>
      <c r="BQ50" s="17"/>
      <c r="BR50" s="17">
        <v>59.877688041698597</v>
      </c>
      <c r="BS50" s="17"/>
      <c r="BT50" s="17">
        <v>0</v>
      </c>
      <c r="BU50" s="17"/>
      <c r="BV50" s="17"/>
      <c r="BW50" s="17">
        <v>47.500894191788902</v>
      </c>
      <c r="BX50" s="17"/>
      <c r="BY50" s="17">
        <v>51.652163333497001</v>
      </c>
      <c r="BZ50" s="17">
        <v>21.834522210403598</v>
      </c>
      <c r="CA50" s="17"/>
      <c r="CB50" s="17">
        <v>260</v>
      </c>
      <c r="CC50" s="17"/>
      <c r="CD50" s="17">
        <v>21.6666666666667</v>
      </c>
      <c r="CE50" s="17"/>
      <c r="CF50" s="17">
        <v>0</v>
      </c>
      <c r="CG50" s="17"/>
      <c r="CH50" s="17">
        <v>0</v>
      </c>
      <c r="CI50" s="17">
        <v>0</v>
      </c>
      <c r="CJ50" s="17"/>
      <c r="CK50" t="e">
        <f>SQRT(((2*[1]Sheet1!$G$24/2*BC50)/[1]Sheet1!$N$30*((1-([1]Sheet2!$BQ$879*[1]Sheet2!$BQ$881))*[1]Sheet2!$BQ$885/([1]Sheet2!$BQ$882*[1]Sheet2!$BQ$881))*60*29.37))</f>
        <v>#DIV/0!</v>
      </c>
      <c r="CM50" s="430">
        <v>0</v>
      </c>
      <c r="CN50" s="431">
        <v>4599786</v>
      </c>
      <c r="CO50" s="686">
        <v>0</v>
      </c>
      <c r="CP50" s="433">
        <v>0</v>
      </c>
      <c r="CQ50" t="e">
        <f t="shared" si="1"/>
        <v>#DIV/0!</v>
      </c>
      <c r="CR50" t="e">
        <f>((([1]Sheet1!$N$29/CH50)-1)*LN(CK50/([1]Sheet1!$G$24/2)))</f>
        <v>#DIV/0!</v>
      </c>
    </row>
    <row r="51" spans="1:96" ht="15" x14ac:dyDescent="0.25">
      <c r="A51" s="830">
        <v>0</v>
      </c>
      <c r="B51" s="829">
        <v>0</v>
      </c>
      <c r="C51" s="281">
        <v>0</v>
      </c>
      <c r="D51" s="281">
        <v>0</v>
      </c>
      <c r="E51" s="9">
        <v>0</v>
      </c>
      <c r="F51" s="9">
        <v>0</v>
      </c>
      <c r="G51" s="9">
        <v>0</v>
      </c>
      <c r="H51" s="9"/>
      <c r="I51" s="417" t="s">
        <v>245</v>
      </c>
      <c r="J51" s="677">
        <v>10030.9994770621</v>
      </c>
      <c r="K51" s="9"/>
      <c r="L51" s="17"/>
      <c r="M51" s="17">
        <v>509</v>
      </c>
      <c r="N51">
        <f t="shared" si="3"/>
        <v>13155</v>
      </c>
      <c r="O51">
        <f t="shared" si="2"/>
        <v>6635.3819999999987</v>
      </c>
      <c r="P51" s="17">
        <v>41.168645728733999</v>
      </c>
      <c r="Q51" s="9">
        <v>323.72991759294302</v>
      </c>
      <c r="R51" s="17"/>
      <c r="S51" s="17"/>
      <c r="T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400">
        <v>333.145780015399</v>
      </c>
      <c r="AW51" s="17">
        <v>10.4000868968749</v>
      </c>
      <c r="AX51" s="17"/>
      <c r="AY51" s="17">
        <v>0</v>
      </c>
      <c r="AZ51" s="17">
        <v>0</v>
      </c>
      <c r="BA51" s="17"/>
      <c r="BB51" s="101">
        <v>49.171005049730198</v>
      </c>
      <c r="BC51" s="17">
        <v>1555</v>
      </c>
      <c r="BD51" s="102">
        <v>0</v>
      </c>
      <c r="BE51" s="9">
        <v>0</v>
      </c>
      <c r="BF51" s="9">
        <v>0</v>
      </c>
      <c r="BG51" s="17">
        <v>0</v>
      </c>
      <c r="BH51" s="17">
        <v>0</v>
      </c>
      <c r="BI51" s="17">
        <v>0</v>
      </c>
      <c r="BJ51" s="17">
        <v>0</v>
      </c>
      <c r="BK51" s="17">
        <v>0</v>
      </c>
      <c r="BL51" s="17">
        <v>0</v>
      </c>
      <c r="BM51" s="17">
        <v>0</v>
      </c>
      <c r="BN51" s="17"/>
      <c r="BO51" s="17"/>
      <c r="BP51" s="17"/>
      <c r="BQ51" s="17"/>
      <c r="BR51" s="17">
        <v>61.896154312726203</v>
      </c>
      <c r="BS51" s="17"/>
      <c r="BT51" s="17">
        <v>0</v>
      </c>
      <c r="BU51" s="17"/>
      <c r="BV51" s="17"/>
      <c r="BW51" s="17">
        <v>49.171005049730198</v>
      </c>
      <c r="BX51" s="17"/>
      <c r="BY51" s="17">
        <v>53.397658766147003</v>
      </c>
      <c r="BZ51" s="17">
        <v>21.410510542466</v>
      </c>
      <c r="CA51" s="17"/>
      <c r="CB51" s="17">
        <v>250</v>
      </c>
      <c r="CC51" s="17"/>
      <c r="CD51" s="17">
        <v>20.8333333333333</v>
      </c>
      <c r="CE51" s="17"/>
      <c r="CF51" s="17">
        <v>0</v>
      </c>
      <c r="CG51" s="17"/>
      <c r="CH51" s="17">
        <v>0</v>
      </c>
      <c r="CI51" s="17">
        <v>0</v>
      </c>
      <c r="CJ51" s="17"/>
      <c r="CK51" t="e">
        <f>SQRT(((2*[1]Sheet1!$G$24/2*BC51)/[1]Sheet1!$N$30*((1-([1]Sheet2!$BQ$879*[1]Sheet2!$BQ$881))*[1]Sheet2!$BQ$885/([1]Sheet2!$BQ$882*[1]Sheet2!$BQ$881))*60*29.37))</f>
        <v>#DIV/0!</v>
      </c>
      <c r="CM51" s="430">
        <v>0</v>
      </c>
      <c r="CN51" s="431">
        <v>4599786</v>
      </c>
      <c r="CO51" s="686">
        <v>0</v>
      </c>
      <c r="CP51" s="433">
        <v>0</v>
      </c>
      <c r="CQ51" t="e">
        <f t="shared" si="1"/>
        <v>#DIV/0!</v>
      </c>
      <c r="CR51" t="e">
        <f>((([1]Sheet1!$N$29/CH51)-1)*LN(CK51/([1]Sheet1!$G$24/2)))</f>
        <v>#DIV/0!</v>
      </c>
    </row>
    <row r="52" spans="1:96" ht="15" x14ac:dyDescent="0.25">
      <c r="A52" s="830">
        <v>0</v>
      </c>
      <c r="B52" s="829">
        <v>0</v>
      </c>
      <c r="C52" s="281">
        <v>0</v>
      </c>
      <c r="D52" s="281">
        <v>0</v>
      </c>
      <c r="E52" s="9">
        <v>0</v>
      </c>
      <c r="F52" s="9">
        <v>0</v>
      </c>
      <c r="G52" s="9">
        <v>0</v>
      </c>
      <c r="H52" s="9"/>
      <c r="I52" s="645" t="s">
        <v>246</v>
      </c>
      <c r="J52" s="671">
        <v>71.849999999999994</v>
      </c>
      <c r="K52" s="9"/>
      <c r="L52" s="17"/>
      <c r="M52" s="17">
        <v>529</v>
      </c>
      <c r="N52">
        <f t="shared" si="3"/>
        <v>13175</v>
      </c>
      <c r="O52">
        <f t="shared" si="2"/>
        <v>6645.4699999999993</v>
      </c>
      <c r="P52" s="17">
        <v>42.786274244597799</v>
      </c>
      <c r="Q52" s="9">
        <v>325.34754610880702</v>
      </c>
      <c r="R52" s="17"/>
      <c r="S52" s="17"/>
      <c r="T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400">
        <v>333.46441205376499</v>
      </c>
      <c r="AW52" s="17">
        <v>10.0814548585096</v>
      </c>
      <c r="AX52" s="17"/>
      <c r="AY52" s="17">
        <v>0</v>
      </c>
      <c r="AZ52" s="17">
        <v>0</v>
      </c>
      <c r="BA52" s="17"/>
      <c r="BB52" s="101">
        <v>50.7883035322442</v>
      </c>
      <c r="BC52" s="17">
        <v>1655</v>
      </c>
      <c r="BD52" s="102">
        <v>0</v>
      </c>
      <c r="BE52" s="9">
        <v>0</v>
      </c>
      <c r="BF52" s="9">
        <v>0</v>
      </c>
      <c r="BG52" s="17">
        <v>0</v>
      </c>
      <c r="BH52" s="17">
        <v>0</v>
      </c>
      <c r="BI52" s="17">
        <v>0</v>
      </c>
      <c r="BJ52" s="17">
        <v>0</v>
      </c>
      <c r="BK52" s="17">
        <v>0</v>
      </c>
      <c r="BL52" s="17">
        <v>0</v>
      </c>
      <c r="BM52" s="17">
        <v>0</v>
      </c>
      <c r="BN52" s="17"/>
      <c r="BO52" s="17"/>
      <c r="BP52" s="17"/>
      <c r="BQ52" s="17"/>
      <c r="BR52" s="17">
        <v>63.850844255895701</v>
      </c>
      <c r="BS52" s="17"/>
      <c r="BT52" s="17">
        <v>0</v>
      </c>
      <c r="BU52" s="17"/>
      <c r="BV52" s="17"/>
      <c r="BW52" s="17">
        <v>50.7883035322442</v>
      </c>
      <c r="BX52" s="17"/>
      <c r="BY52" s="17">
        <v>55.087874767334199</v>
      </c>
      <c r="BZ52" s="17">
        <v>20.977930384608602</v>
      </c>
      <c r="CA52" s="17"/>
      <c r="CB52" s="17">
        <v>240</v>
      </c>
      <c r="CC52" s="17"/>
      <c r="CD52" s="17">
        <v>20</v>
      </c>
      <c r="CE52" s="17"/>
      <c r="CF52" s="17">
        <v>0</v>
      </c>
      <c r="CG52" s="17"/>
      <c r="CH52" s="17">
        <v>0</v>
      </c>
      <c r="CI52" s="17">
        <v>0</v>
      </c>
      <c r="CJ52" s="17"/>
      <c r="CK52" t="e">
        <f>SQRT(((2*[1]Sheet1!$G$24/2*BC52)/[1]Sheet1!$N$30*((1-([1]Sheet2!$BQ$879*[1]Sheet2!$BQ$881))*[1]Sheet2!$BQ$885/([1]Sheet2!$BQ$882*[1]Sheet2!$BQ$881))*60*29.37))</f>
        <v>#DIV/0!</v>
      </c>
      <c r="CM52" s="430">
        <v>0</v>
      </c>
      <c r="CN52" s="431">
        <v>4599786</v>
      </c>
      <c r="CO52" s="686">
        <v>0</v>
      </c>
      <c r="CP52" s="433">
        <v>0</v>
      </c>
      <c r="CQ52" t="e">
        <f t="shared" si="1"/>
        <v>#DIV/0!</v>
      </c>
      <c r="CR52" t="e">
        <f>((([1]Sheet1!$N$29/CH52)-1)*LN(CK52/([1]Sheet1!$G$24/2)))</f>
        <v>#DIV/0!</v>
      </c>
    </row>
    <row r="53" spans="1:96" ht="15" x14ac:dyDescent="0.25">
      <c r="A53" s="830">
        <v>0</v>
      </c>
      <c r="B53" s="829">
        <v>0</v>
      </c>
      <c r="C53" s="281">
        <v>0</v>
      </c>
      <c r="D53" s="281">
        <v>0</v>
      </c>
      <c r="E53" s="9">
        <v>0</v>
      </c>
      <c r="F53" s="9">
        <v>0</v>
      </c>
      <c r="G53" s="9">
        <v>0</v>
      </c>
      <c r="H53" s="9"/>
      <c r="I53" s="672" t="s">
        <v>244</v>
      </c>
      <c r="J53" s="673">
        <v>0.14615078969192799</v>
      </c>
      <c r="K53" s="9"/>
      <c r="L53" s="17"/>
      <c r="M53" s="17">
        <v>549</v>
      </c>
      <c r="N53">
        <f t="shared" si="3"/>
        <v>13195</v>
      </c>
      <c r="O53">
        <f t="shared" si="2"/>
        <v>6655.5579999999991</v>
      </c>
      <c r="P53" s="17">
        <v>44.403902760461598</v>
      </c>
      <c r="Q53" s="9">
        <v>326.96517462467</v>
      </c>
      <c r="R53" s="17"/>
      <c r="S53" s="17"/>
      <c r="T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400">
        <v>333.75544495223897</v>
      </c>
      <c r="AW53" s="17">
        <v>9.7904219600357791</v>
      </c>
      <c r="AX53" s="17"/>
      <c r="AY53" s="17">
        <v>0</v>
      </c>
      <c r="AZ53" s="17">
        <v>0</v>
      </c>
      <c r="BA53" s="17"/>
      <c r="BB53" s="101">
        <v>52.3575038226111</v>
      </c>
      <c r="BC53" s="17">
        <v>1755</v>
      </c>
      <c r="BD53" s="102">
        <v>0</v>
      </c>
      <c r="BE53" s="9">
        <v>0</v>
      </c>
      <c r="BF53" s="9">
        <v>0</v>
      </c>
      <c r="BG53" s="17">
        <v>0</v>
      </c>
      <c r="BH53" s="17">
        <v>0</v>
      </c>
      <c r="BI53" s="17">
        <v>0</v>
      </c>
      <c r="BJ53" s="17">
        <v>0</v>
      </c>
      <c r="BK53" s="17">
        <v>0</v>
      </c>
      <c r="BL53" s="17">
        <v>0</v>
      </c>
      <c r="BM53" s="17">
        <v>0</v>
      </c>
      <c r="BN53" s="17"/>
      <c r="BO53" s="17"/>
      <c r="BP53" s="17"/>
      <c r="BQ53" s="17"/>
      <c r="BR53" s="17">
        <v>65.747446381410796</v>
      </c>
      <c r="BS53" s="17"/>
      <c r="BT53" s="17">
        <v>0</v>
      </c>
      <c r="BU53" s="17"/>
      <c r="BV53" s="17"/>
      <c r="BW53" s="17">
        <v>52.3575038226111</v>
      </c>
      <c r="BX53" s="17"/>
      <c r="BY53" s="17">
        <v>56.727752741115303</v>
      </c>
      <c r="BZ53" s="17">
        <v>20.5362402779555</v>
      </c>
      <c r="CA53" s="17"/>
      <c r="CB53" s="17">
        <v>230</v>
      </c>
      <c r="CC53" s="17"/>
      <c r="CD53" s="17">
        <v>19.1666666666667</v>
      </c>
      <c r="CE53" s="17"/>
      <c r="CF53" s="17">
        <v>0</v>
      </c>
      <c r="CG53" s="17"/>
      <c r="CH53" s="17">
        <v>0</v>
      </c>
      <c r="CI53" s="17">
        <v>0</v>
      </c>
      <c r="CJ53" s="17"/>
      <c r="CK53" t="e">
        <f>SQRT(((2*[1]Sheet1!$G$24/2*BC53)/[1]Sheet1!$N$30*((1-([1]Sheet2!$BQ$879*[1]Sheet2!$BQ$881))*[1]Sheet2!$BQ$885/([1]Sheet2!$BQ$882*[1]Sheet2!$BQ$881))*60*29.37))</f>
        <v>#DIV/0!</v>
      </c>
      <c r="CM53" s="430">
        <v>0</v>
      </c>
      <c r="CN53" s="431">
        <v>4599786</v>
      </c>
      <c r="CO53" s="686">
        <v>0</v>
      </c>
      <c r="CP53" s="433">
        <v>0</v>
      </c>
      <c r="CQ53" t="e">
        <f t="shared" si="1"/>
        <v>#DIV/0!</v>
      </c>
      <c r="CR53" t="e">
        <f>((([1]Sheet1!$N$29/CH53)-1)*LN(CK53/([1]Sheet1!$G$24/2)))</f>
        <v>#DIV/0!</v>
      </c>
    </row>
    <row r="54" spans="1:96" ht="15" x14ac:dyDescent="0.25">
      <c r="A54" s="830">
        <v>0</v>
      </c>
      <c r="B54" s="829">
        <v>0</v>
      </c>
      <c r="C54" s="522">
        <v>0</v>
      </c>
      <c r="D54" s="831">
        <v>0</v>
      </c>
      <c r="E54" s="9">
        <v>0</v>
      </c>
      <c r="F54" s="9">
        <v>0</v>
      </c>
      <c r="G54" s="9">
        <v>0</v>
      </c>
      <c r="H54" s="9"/>
      <c r="I54" s="417" t="s">
        <v>248</v>
      </c>
      <c r="J54" s="677">
        <v>4696.7325667731602</v>
      </c>
      <c r="K54" s="9"/>
      <c r="L54" s="17"/>
      <c r="M54" s="17">
        <v>569</v>
      </c>
      <c r="N54">
        <f t="shared" si="3"/>
        <v>13215</v>
      </c>
      <c r="O54">
        <f t="shared" si="2"/>
        <v>6665.6459999999988</v>
      </c>
      <c r="P54" s="17">
        <v>46.021531276325398</v>
      </c>
      <c r="Q54" s="9">
        <v>328.582803140534</v>
      </c>
      <c r="R54" s="17"/>
      <c r="S54" s="17"/>
      <c r="T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400">
        <v>334.02264595021802</v>
      </c>
      <c r="AW54" s="17">
        <v>9.5232209620568806</v>
      </c>
      <c r="AX54" s="17"/>
      <c r="AY54" s="17">
        <v>0</v>
      </c>
      <c r="AZ54" s="17">
        <v>0</v>
      </c>
      <c r="BA54" s="17"/>
      <c r="BB54" s="101">
        <v>53.882657898833003</v>
      </c>
      <c r="BC54" s="17">
        <v>1855</v>
      </c>
      <c r="BD54" s="102">
        <v>0</v>
      </c>
      <c r="BE54" s="9">
        <v>0</v>
      </c>
      <c r="BF54" s="9">
        <v>0</v>
      </c>
      <c r="BG54" s="17">
        <v>0</v>
      </c>
      <c r="BH54" s="17">
        <v>0</v>
      </c>
      <c r="BI54" s="17">
        <v>0</v>
      </c>
      <c r="BJ54" s="17">
        <v>0</v>
      </c>
      <c r="BK54" s="17">
        <v>0</v>
      </c>
      <c r="BL54" s="17">
        <v>0</v>
      </c>
      <c r="BM54" s="17">
        <v>0</v>
      </c>
      <c r="BN54" s="17"/>
      <c r="BO54" s="17"/>
      <c r="BP54" s="17"/>
      <c r="BQ54" s="17"/>
      <c r="BR54" s="17">
        <v>67.590850706011395</v>
      </c>
      <c r="BS54" s="17"/>
      <c r="BT54" s="17">
        <v>0</v>
      </c>
      <c r="BU54" s="17"/>
      <c r="BV54" s="17"/>
      <c r="BW54" s="17">
        <v>53.882657898833003</v>
      </c>
      <c r="BX54" s="17"/>
      <c r="BY54" s="17">
        <v>58.321539037758001</v>
      </c>
      <c r="BZ54" s="17">
        <v>20.084839214849602</v>
      </c>
      <c r="CA54" s="17"/>
      <c r="CB54" s="17">
        <v>220</v>
      </c>
      <c r="CC54" s="17"/>
      <c r="CD54" s="17">
        <v>18.3333333333333</v>
      </c>
      <c r="CE54" s="17"/>
      <c r="CF54" s="17">
        <v>0</v>
      </c>
      <c r="CG54" s="17"/>
      <c r="CH54" s="17">
        <v>0</v>
      </c>
      <c r="CI54" s="17">
        <v>0</v>
      </c>
      <c r="CJ54" s="17"/>
      <c r="CK54" t="e">
        <f>SQRT(((2*[1]Sheet1!$G$24/2*BC54)/[1]Sheet1!$N$30*((1-([1]Sheet2!$BQ$879*[1]Sheet2!$BQ$881))*[1]Sheet2!$BQ$885/([1]Sheet2!$BQ$882*[1]Sheet2!$BQ$881))*60*29.37))</f>
        <v>#DIV/0!</v>
      </c>
      <c r="CM54" s="430">
        <v>0</v>
      </c>
      <c r="CN54" s="431">
        <v>4599786</v>
      </c>
      <c r="CO54" s="686">
        <v>0</v>
      </c>
      <c r="CP54" s="433">
        <v>0</v>
      </c>
      <c r="CQ54" t="e">
        <f t="shared" si="1"/>
        <v>#DIV/0!</v>
      </c>
      <c r="CR54" t="e">
        <f>((([1]Sheet1!$N$29/CH54)-1)*LN(CK54/([1]Sheet1!$G$24/2)))</f>
        <v>#DIV/0!</v>
      </c>
    </row>
    <row r="55" spans="1:96" ht="15" x14ac:dyDescent="0.25">
      <c r="A55" s="9"/>
      <c r="B55" s="9"/>
      <c r="C55" s="9"/>
      <c r="D55" s="832" t="s">
        <v>30</v>
      </c>
      <c r="E55" s="833">
        <v>0.7</v>
      </c>
      <c r="F55" s="833">
        <v>0.8</v>
      </c>
      <c r="G55" s="834">
        <v>1</v>
      </c>
      <c r="H55" s="9"/>
      <c r="I55" s="9"/>
      <c r="J55" s="9"/>
      <c r="K55" s="17"/>
      <c r="L55" s="17"/>
      <c r="M55" s="17">
        <v>589</v>
      </c>
      <c r="N55">
        <f t="shared" si="3"/>
        <v>13235</v>
      </c>
      <c r="O55">
        <f t="shared" si="2"/>
        <v>6675.7339999999986</v>
      </c>
      <c r="P55" s="17">
        <v>47.639159792189197</v>
      </c>
      <c r="Q55" s="9">
        <v>330.200431656398</v>
      </c>
      <c r="R55" s="17"/>
      <c r="S55" s="17"/>
      <c r="T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400">
        <v>334.26909957159899</v>
      </c>
      <c r="AW55" s="17">
        <v>9.2767673406756792</v>
      </c>
      <c r="AX55" s="17"/>
      <c r="AY55" s="17">
        <v>0</v>
      </c>
      <c r="AZ55" s="17">
        <v>0</v>
      </c>
      <c r="BA55" s="17"/>
      <c r="BB55" s="101">
        <v>55.3672788778659</v>
      </c>
      <c r="BC55" s="17">
        <v>1955</v>
      </c>
      <c r="BD55" s="102">
        <v>0</v>
      </c>
      <c r="BE55" s="9">
        <v>0</v>
      </c>
      <c r="BF55" s="9">
        <v>0</v>
      </c>
      <c r="BG55" s="17">
        <v>0</v>
      </c>
      <c r="BH55" s="17">
        <v>0</v>
      </c>
      <c r="BI55" s="17">
        <v>0</v>
      </c>
      <c r="BJ55" s="17">
        <v>0</v>
      </c>
      <c r="BK55" s="17">
        <v>0</v>
      </c>
      <c r="BL55" s="17">
        <v>0</v>
      </c>
      <c r="BM55" s="17">
        <v>0</v>
      </c>
      <c r="BN55" s="17"/>
      <c r="BO55" s="17"/>
      <c r="BP55" s="17"/>
      <c r="BQ55" s="17"/>
      <c r="BR55" s="17">
        <v>69.385297380988206</v>
      </c>
      <c r="BS55" s="17"/>
      <c r="BT55" s="17">
        <v>0</v>
      </c>
      <c r="BU55" s="17"/>
      <c r="BV55" s="17"/>
      <c r="BW55" s="17">
        <v>55.3672788778659</v>
      </c>
      <c r="BX55" s="17"/>
      <c r="BY55" s="17">
        <v>59.872914580871601</v>
      </c>
      <c r="BZ55" s="17">
        <v>19.623057045700101</v>
      </c>
      <c r="CA55" s="17"/>
      <c r="CB55" s="17">
        <v>210</v>
      </c>
      <c r="CC55" s="17"/>
      <c r="CD55" s="17">
        <v>17.5</v>
      </c>
      <c r="CE55" s="17"/>
      <c r="CF55" s="17">
        <v>0</v>
      </c>
      <c r="CG55" s="17"/>
      <c r="CH55" s="17">
        <v>0</v>
      </c>
      <c r="CI55" s="17">
        <v>0</v>
      </c>
      <c r="CJ55" s="17"/>
      <c r="CK55" t="e">
        <f>SQRT(((2*[1]Sheet1!$G$24/2*BC55)/[1]Sheet1!$N$30*((1-([1]Sheet2!$BQ$879*[1]Sheet2!$BQ$881))*[1]Sheet2!$BQ$885/([1]Sheet2!$BQ$882*[1]Sheet2!$BQ$881))*60*29.37))</f>
        <v>#DIV/0!</v>
      </c>
      <c r="CM55" s="430">
        <v>0</v>
      </c>
      <c r="CN55" s="431">
        <v>4599786</v>
      </c>
      <c r="CO55" s="686">
        <v>0</v>
      </c>
      <c r="CP55" s="433">
        <v>0</v>
      </c>
      <c r="CQ55" t="e">
        <f t="shared" si="1"/>
        <v>#DIV/0!</v>
      </c>
      <c r="CR55" t="e">
        <f>((([1]Sheet1!$N$29/CH55)-1)*LN(CK55/([1]Sheet1!$G$24/2)))</f>
        <v>#DIV/0!</v>
      </c>
    </row>
    <row r="56" spans="1:96" ht="15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17"/>
      <c r="M56" s="17">
        <v>609</v>
      </c>
      <c r="N56">
        <f t="shared" si="3"/>
        <v>13255</v>
      </c>
      <c r="O56">
        <f t="shared" si="2"/>
        <v>6685.8219999999992</v>
      </c>
      <c r="P56" s="17">
        <v>49.256788308052997</v>
      </c>
      <c r="Q56" s="9">
        <v>331.81806017226199</v>
      </c>
      <c r="R56" s="17"/>
      <c r="S56" s="17"/>
      <c r="T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400">
        <v>334.49735888341797</v>
      </c>
      <c r="AW56" s="17">
        <v>9.0485080288568795</v>
      </c>
      <c r="AX56" s="17"/>
      <c r="AY56" s="17">
        <v>0</v>
      </c>
      <c r="AZ56" s="17">
        <v>0</v>
      </c>
      <c r="BA56" s="17"/>
      <c r="BB56" s="101">
        <v>56.814436304904497</v>
      </c>
      <c r="BC56" s="17">
        <v>2055</v>
      </c>
      <c r="BD56" s="102">
        <v>0</v>
      </c>
      <c r="BE56" s="9">
        <v>0</v>
      </c>
      <c r="BF56" s="9">
        <v>0</v>
      </c>
      <c r="BG56" s="17">
        <v>0</v>
      </c>
      <c r="BH56" s="17">
        <v>0</v>
      </c>
      <c r="BI56" s="17">
        <v>0</v>
      </c>
      <c r="BJ56" s="17">
        <v>0</v>
      </c>
      <c r="BK56" s="17">
        <v>0</v>
      </c>
      <c r="BL56" s="17">
        <v>0</v>
      </c>
      <c r="BM56" s="17">
        <v>0</v>
      </c>
      <c r="BN56" s="17"/>
      <c r="BO56" s="17"/>
      <c r="BP56" s="17"/>
      <c r="BQ56" s="17"/>
      <c r="BR56" s="17">
        <v>71.134491536342694</v>
      </c>
      <c r="BS56" s="17"/>
      <c r="BT56" s="17">
        <v>0</v>
      </c>
      <c r="BU56" s="17"/>
      <c r="BV56" s="17"/>
      <c r="BW56" s="17">
        <v>56.814436304904497</v>
      </c>
      <c r="BX56" s="17"/>
      <c r="BY56" s="17">
        <v>61.3850949749527</v>
      </c>
      <c r="BZ56" s="17">
        <v>19.150142802371899</v>
      </c>
      <c r="CA56" s="17"/>
      <c r="CB56" s="17">
        <v>200</v>
      </c>
      <c r="CC56" s="17"/>
      <c r="CD56" s="17">
        <v>16.6666666666667</v>
      </c>
      <c r="CE56" s="17"/>
      <c r="CF56" s="17">
        <v>0</v>
      </c>
      <c r="CG56" s="17"/>
      <c r="CH56" s="17">
        <v>0</v>
      </c>
      <c r="CI56" s="17">
        <v>0</v>
      </c>
      <c r="CJ56" s="17"/>
      <c r="CK56" t="e">
        <f>SQRT(((2*[1]Sheet1!$G$24/2*BC56)/[1]Sheet1!$N$30*((1-([1]Sheet2!$BQ$879*[1]Sheet2!$BQ$881))*[1]Sheet2!$BQ$885/([1]Sheet2!$BQ$882*[1]Sheet2!$BQ$881))*60*29.37))</f>
        <v>#DIV/0!</v>
      </c>
      <c r="CM56" s="430">
        <v>0</v>
      </c>
      <c r="CN56" s="431">
        <v>4599786</v>
      </c>
      <c r="CO56" s="686">
        <v>0</v>
      </c>
      <c r="CP56" s="433">
        <v>0</v>
      </c>
      <c r="CQ56" t="e">
        <f t="shared" si="1"/>
        <v>#DIV/0!</v>
      </c>
      <c r="CR56" t="e">
        <f>((([1]Sheet1!$N$29/CH56)-1)*LN(CK56/([1]Sheet1!$G$24/2)))</f>
        <v>#DIV/0!</v>
      </c>
    </row>
    <row r="57" spans="1:96" ht="15" x14ac:dyDescent="0.25">
      <c r="A57" s="9"/>
      <c r="B57" s="9"/>
      <c r="C57" s="17" t="s">
        <v>34</v>
      </c>
      <c r="D57" s="66" t="s">
        <v>364</v>
      </c>
      <c r="E57" s="9"/>
      <c r="F57" s="9"/>
      <c r="G57" s="9"/>
      <c r="H57" s="9"/>
      <c r="I57" s="9"/>
      <c r="J57" s="9"/>
      <c r="K57" s="9"/>
      <c r="L57" s="17"/>
      <c r="M57" s="17">
        <v>629</v>
      </c>
      <c r="N57">
        <f t="shared" si="3"/>
        <v>13275</v>
      </c>
      <c r="O57">
        <f t="shared" si="2"/>
        <v>6695.9099999999989</v>
      </c>
      <c r="P57" s="17">
        <v>50.874416823916803</v>
      </c>
      <c r="Q57" s="9">
        <v>333.43568868812599</v>
      </c>
      <c r="R57" s="17"/>
      <c r="S57" s="17"/>
      <c r="T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400">
        <v>334.70955771375799</v>
      </c>
      <c r="AW57" s="17">
        <v>8.8363091985159308</v>
      </c>
      <c r="AX57" s="17"/>
      <c r="AY57" s="17">
        <v>0</v>
      </c>
      <c r="AZ57" s="17">
        <v>0</v>
      </c>
      <c r="BA57" s="17"/>
      <c r="BB57" s="101">
        <v>58.226830813820001</v>
      </c>
      <c r="BC57" s="17">
        <v>2155</v>
      </c>
      <c r="BD57" s="102">
        <v>0</v>
      </c>
      <c r="BE57" s="9">
        <v>0</v>
      </c>
      <c r="BF57" s="9">
        <v>0</v>
      </c>
      <c r="BG57" s="17">
        <v>0</v>
      </c>
      <c r="BH57" s="17">
        <v>0</v>
      </c>
      <c r="BI57" s="17">
        <v>0</v>
      </c>
      <c r="BJ57" s="17">
        <v>0</v>
      </c>
      <c r="BK57" s="17">
        <v>0</v>
      </c>
      <c r="BL57" s="17">
        <v>0</v>
      </c>
      <c r="BM57" s="17">
        <v>0</v>
      </c>
      <c r="BN57" s="17"/>
      <c r="BO57" s="17"/>
      <c r="BP57" s="17"/>
      <c r="BQ57" s="17"/>
      <c r="BR57" s="17">
        <v>72.841693278093501</v>
      </c>
      <c r="BS57" s="17"/>
      <c r="BT57" s="17">
        <v>0</v>
      </c>
      <c r="BU57" s="17"/>
      <c r="BV57" s="17"/>
      <c r="BW57" s="17">
        <v>58.226830813820001</v>
      </c>
      <c r="BX57" s="17"/>
      <c r="BY57" s="17">
        <v>62.860908916110901</v>
      </c>
      <c r="BZ57" s="17">
        <v>18.6652503568443</v>
      </c>
      <c r="CA57" s="17"/>
      <c r="CB57" s="17">
        <v>190</v>
      </c>
      <c r="CC57" s="17"/>
      <c r="CD57" s="17">
        <v>15.8333333333333</v>
      </c>
      <c r="CE57" s="17"/>
      <c r="CF57" s="17">
        <v>0</v>
      </c>
      <c r="CG57" s="17"/>
      <c r="CH57" s="17">
        <v>0</v>
      </c>
      <c r="CI57" s="17">
        <v>0</v>
      </c>
      <c r="CJ57" s="17"/>
      <c r="CK57" t="e">
        <f>SQRT(((2*[1]Sheet1!$G$24/2*BC57)/[1]Sheet1!$N$30*((1-([1]Sheet2!$BQ$879*[1]Sheet2!$BQ$881))*[1]Sheet2!$BQ$885/([1]Sheet2!$BQ$882*[1]Sheet2!$BQ$881))*60*29.37))</f>
        <v>#DIV/0!</v>
      </c>
      <c r="CM57" s="430">
        <v>0</v>
      </c>
      <c r="CN57" s="431">
        <v>4599786</v>
      </c>
      <c r="CO57" s="686">
        <v>0</v>
      </c>
      <c r="CP57" s="433">
        <v>0</v>
      </c>
      <c r="CQ57" t="e">
        <f t="shared" si="1"/>
        <v>#DIV/0!</v>
      </c>
      <c r="CR57" t="e">
        <f>((([1]Sheet1!$N$29/CH57)-1)*LN(CK57/([1]Sheet1!$G$24/2)))</f>
        <v>#DIV/0!</v>
      </c>
    </row>
    <row r="58" spans="1:96" ht="15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17"/>
      <c r="M58" s="17">
        <v>649</v>
      </c>
      <c r="N58">
        <f t="shared" si="3"/>
        <v>13295</v>
      </c>
      <c r="O58">
        <f t="shared" si="2"/>
        <v>6705.9979999999987</v>
      </c>
      <c r="P58" s="17">
        <v>52.492045339780603</v>
      </c>
      <c r="Q58" s="9">
        <v>335.05331720398902</v>
      </c>
      <c r="R58" s="17"/>
      <c r="S58" s="17"/>
      <c r="T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400">
        <v>334.95493560018502</v>
      </c>
      <c r="AW58" s="17">
        <v>8.5909313120894595</v>
      </c>
      <c r="AX58" s="17"/>
      <c r="AY58" s="17">
        <v>0</v>
      </c>
      <c r="AZ58" s="17">
        <v>0</v>
      </c>
      <c r="BA58" s="17"/>
      <c r="BB58" s="101">
        <v>59.947055538520402</v>
      </c>
      <c r="BC58" s="17">
        <v>2255</v>
      </c>
      <c r="BD58" s="102">
        <v>0</v>
      </c>
      <c r="BE58" s="9">
        <v>0</v>
      </c>
      <c r="BF58" s="9">
        <v>0</v>
      </c>
      <c r="BG58" s="17">
        <v>0</v>
      </c>
      <c r="BH58" s="17">
        <v>0</v>
      </c>
      <c r="BI58" s="17">
        <v>0</v>
      </c>
      <c r="BJ58" s="17">
        <v>0</v>
      </c>
      <c r="BK58" s="17">
        <v>0</v>
      </c>
      <c r="BL58" s="17">
        <v>0</v>
      </c>
      <c r="BM58" s="17">
        <v>0</v>
      </c>
      <c r="BN58" s="17"/>
      <c r="BO58" s="17"/>
      <c r="BP58" s="17"/>
      <c r="BQ58" s="17"/>
      <c r="BR58" s="17">
        <v>74.509789109255195</v>
      </c>
      <c r="BS58" s="17"/>
      <c r="BT58" s="17">
        <v>0</v>
      </c>
      <c r="BU58" s="17"/>
      <c r="BV58" s="17"/>
      <c r="BW58" s="17">
        <v>59.606853367862698</v>
      </c>
      <c r="BX58" s="17"/>
      <c r="BY58" s="17">
        <v>64.302860390772693</v>
      </c>
      <c r="BZ58" s="17">
        <v>18.167420631892501</v>
      </c>
      <c r="CA58" s="17"/>
      <c r="CB58" s="17">
        <v>180</v>
      </c>
      <c r="CC58" s="17"/>
      <c r="CD58" s="17">
        <v>15</v>
      </c>
      <c r="CE58" s="17"/>
      <c r="CF58" s="17">
        <v>0</v>
      </c>
      <c r="CG58" s="17"/>
      <c r="CH58" s="17">
        <v>0</v>
      </c>
      <c r="CI58" s="17">
        <v>0</v>
      </c>
      <c r="CJ58" s="17"/>
      <c r="CK58" t="e">
        <f>SQRT(((2*[1]Sheet1!$G$24/2*BC58)/[1]Sheet1!$N$30*((1-([1]Sheet2!$BQ$879*[1]Sheet2!$BQ$881))*[1]Sheet2!$BQ$885/([1]Sheet2!$BQ$882*[1]Sheet2!$BQ$881))*60*29.37))</f>
        <v>#DIV/0!</v>
      </c>
      <c r="CM58" s="430">
        <v>0</v>
      </c>
      <c r="CN58" s="431">
        <v>4599786</v>
      </c>
      <c r="CO58" s="686">
        <v>0</v>
      </c>
      <c r="CP58" s="433">
        <v>0</v>
      </c>
      <c r="CQ58" t="e">
        <f t="shared" si="1"/>
        <v>#DIV/0!</v>
      </c>
      <c r="CR58" t="e">
        <f>((([1]Sheet1!$N$29/CH58)-1)*LN(CK58/([1]Sheet1!$G$24/2)))</f>
        <v>#DIV/0!</v>
      </c>
    </row>
    <row r="59" spans="1:96" ht="15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17"/>
      <c r="M59" s="17">
        <v>669</v>
      </c>
      <c r="N59">
        <f t="shared" si="3"/>
        <v>13315</v>
      </c>
      <c r="O59">
        <f t="shared" si="2"/>
        <v>6716.0859999999993</v>
      </c>
      <c r="P59" s="17">
        <v>54.109673855644402</v>
      </c>
      <c r="Q59" s="9">
        <v>336.67094571985302</v>
      </c>
      <c r="R59" s="17"/>
      <c r="S59" s="17"/>
      <c r="T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400">
        <v>335.09270041618498</v>
      </c>
      <c r="AW59" s="17">
        <v>8.4531664960894108</v>
      </c>
      <c r="AX59" s="17"/>
      <c r="AY59" s="17">
        <v>0</v>
      </c>
      <c r="AZ59" s="17">
        <v>0</v>
      </c>
      <c r="BA59" s="17"/>
      <c r="BB59" s="101">
        <v>60.956632803082499</v>
      </c>
      <c r="BC59" s="17">
        <v>2355</v>
      </c>
      <c r="BD59" s="102">
        <v>0</v>
      </c>
      <c r="BE59" s="9">
        <v>0</v>
      </c>
      <c r="BF59" s="9">
        <v>0</v>
      </c>
      <c r="BG59" s="17">
        <v>0</v>
      </c>
      <c r="BH59" s="17">
        <v>0</v>
      </c>
      <c r="BI59" s="17">
        <v>0</v>
      </c>
      <c r="BJ59" s="17">
        <v>0</v>
      </c>
      <c r="BK59" s="17">
        <v>0</v>
      </c>
      <c r="BL59" s="17">
        <v>0</v>
      </c>
      <c r="BM59" s="17">
        <v>0</v>
      </c>
      <c r="BN59" s="17"/>
      <c r="BO59" s="17"/>
      <c r="BP59" s="17"/>
      <c r="BQ59" s="17"/>
      <c r="BR59" s="17">
        <v>76.141349256442297</v>
      </c>
      <c r="BS59" s="17"/>
      <c r="BT59" s="17">
        <v>0</v>
      </c>
      <c r="BU59" s="17"/>
      <c r="BV59" s="17"/>
      <c r="BW59" s="17">
        <v>60.956632803082499</v>
      </c>
      <c r="BX59" s="17"/>
      <c r="BY59" s="17">
        <v>65.713178580181506</v>
      </c>
      <c r="BZ59" s="17">
        <v>17.655559292997602</v>
      </c>
      <c r="CA59" s="17"/>
      <c r="CB59" s="17">
        <v>170</v>
      </c>
      <c r="CC59" s="17"/>
      <c r="CD59" s="17">
        <v>14.1666666666667</v>
      </c>
      <c r="CE59" s="17"/>
      <c r="CF59" s="17">
        <v>0</v>
      </c>
      <c r="CG59" s="17"/>
      <c r="CH59" s="17">
        <v>0</v>
      </c>
      <c r="CI59" s="17">
        <v>0</v>
      </c>
      <c r="CJ59" s="17"/>
      <c r="CK59" t="e">
        <f>SQRT(((2*[1]Sheet1!$G$24/2*BC59)/[1]Sheet1!$N$30*((1-([1]Sheet2!$BQ$879*[1]Sheet2!$BQ$881))*[1]Sheet2!$BQ$885/([1]Sheet2!$BQ$882*[1]Sheet2!$BQ$881))*60*29.37))</f>
        <v>#DIV/0!</v>
      </c>
      <c r="CM59" s="430">
        <v>0</v>
      </c>
      <c r="CN59" s="431">
        <v>4599786</v>
      </c>
      <c r="CO59" s="686">
        <v>0</v>
      </c>
      <c r="CP59" s="433">
        <v>0</v>
      </c>
      <c r="CQ59" t="e">
        <f t="shared" si="1"/>
        <v>#DIV/0!</v>
      </c>
      <c r="CR59" t="e">
        <f>((([1]Sheet1!$N$29/CH59)-1)*LN(CK59/([1]Sheet1!$G$24/2)))</f>
        <v>#DIV/0!</v>
      </c>
    </row>
    <row r="60" spans="1:96" ht="15" x14ac:dyDescent="0.25">
      <c r="A60" s="9"/>
      <c r="B60" s="9"/>
      <c r="C60" s="18" t="s">
        <v>249</v>
      </c>
      <c r="D60" s="9"/>
      <c r="E60" s="9"/>
      <c r="F60" s="9"/>
      <c r="G60" s="9"/>
      <c r="H60" s="9"/>
      <c r="I60" s="9"/>
      <c r="J60" s="9"/>
      <c r="K60" s="9"/>
      <c r="L60" s="17"/>
      <c r="M60" s="17">
        <v>689</v>
      </c>
      <c r="N60">
        <f t="shared" si="3"/>
        <v>13335</v>
      </c>
      <c r="O60">
        <f t="shared" si="2"/>
        <v>6726.1739999999991</v>
      </c>
      <c r="P60" s="17">
        <v>55.727302371508202</v>
      </c>
      <c r="Q60" s="9">
        <v>338.28857423571702</v>
      </c>
      <c r="R60" s="17"/>
      <c r="S60" s="17"/>
      <c r="T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400">
        <v>335.26648231252801</v>
      </c>
      <c r="AW60" s="17">
        <v>8.2793845997467397</v>
      </c>
      <c r="AX60" s="17"/>
      <c r="AY60" s="17">
        <v>0</v>
      </c>
      <c r="AZ60" s="17">
        <v>0</v>
      </c>
      <c r="BA60" s="17"/>
      <c r="BB60" s="101">
        <v>62.278074379332402</v>
      </c>
      <c r="BC60" s="17">
        <v>2455</v>
      </c>
      <c r="BD60" s="102">
        <v>0</v>
      </c>
      <c r="BE60" s="9">
        <v>0</v>
      </c>
      <c r="BF60" s="9">
        <v>0</v>
      </c>
      <c r="BG60" s="17">
        <v>0</v>
      </c>
      <c r="BH60" s="17">
        <v>0</v>
      </c>
      <c r="BI60" s="17">
        <v>0</v>
      </c>
      <c r="BJ60" s="17">
        <v>0</v>
      </c>
      <c r="BK60" s="17">
        <v>0</v>
      </c>
      <c r="BL60" s="17">
        <v>0</v>
      </c>
      <c r="BM60" s="17">
        <v>0</v>
      </c>
      <c r="BN60" s="17"/>
      <c r="BO60" s="17"/>
      <c r="BP60" s="17"/>
      <c r="BQ60" s="17"/>
      <c r="BR60" s="17">
        <v>77.738674159502906</v>
      </c>
      <c r="BS60" s="17"/>
      <c r="BT60" s="17">
        <v>0</v>
      </c>
      <c r="BU60" s="17"/>
      <c r="BV60" s="17"/>
      <c r="BW60" s="17">
        <v>62.278074379332402</v>
      </c>
      <c r="BX60" s="17"/>
      <c r="BY60" s="17">
        <v>67.093858316439395</v>
      </c>
      <c r="BZ60" s="17">
        <v>17.128408433972801</v>
      </c>
      <c r="CA60" s="17"/>
      <c r="CB60" s="17">
        <v>160</v>
      </c>
      <c r="CC60" s="17"/>
      <c r="CD60" s="17">
        <v>13.3333333333333</v>
      </c>
      <c r="CE60" s="17"/>
      <c r="CF60" s="17">
        <v>0</v>
      </c>
      <c r="CG60" s="17"/>
      <c r="CH60" s="17">
        <v>0</v>
      </c>
      <c r="CI60" s="17">
        <v>0</v>
      </c>
      <c r="CJ60" s="17"/>
      <c r="CK60" t="e">
        <f>SQRT(((2*[1]Sheet1!$G$24/2*BC60)/[1]Sheet1!$N$30*((1-([1]Sheet2!$BQ$879*[1]Sheet2!$BQ$881))*[1]Sheet2!$BQ$885/([1]Sheet2!$BQ$882*[1]Sheet2!$BQ$881))*60*29.37))</f>
        <v>#DIV/0!</v>
      </c>
      <c r="CM60" s="430">
        <v>0</v>
      </c>
      <c r="CN60" s="431">
        <v>4599786</v>
      </c>
      <c r="CO60" s="686">
        <v>0</v>
      </c>
      <c r="CP60" s="433">
        <v>0</v>
      </c>
      <c r="CQ60" t="e">
        <f t="shared" si="1"/>
        <v>#DIV/0!</v>
      </c>
      <c r="CR60" t="e">
        <f>((([1]Sheet1!$N$29/CH60)-1)*LN(CK60/([1]Sheet1!$G$24/2)))</f>
        <v>#DIV/0!</v>
      </c>
    </row>
    <row r="61" spans="1:96" ht="15" x14ac:dyDescent="0.25">
      <c r="A61" s="824" t="s">
        <v>8</v>
      </c>
      <c r="B61" s="25" t="s">
        <v>44</v>
      </c>
      <c r="C61" s="825" t="s">
        <v>10</v>
      </c>
      <c r="D61" s="826" t="s">
        <v>195</v>
      </c>
      <c r="E61" s="827" t="s">
        <v>239</v>
      </c>
      <c r="F61" s="827" t="s">
        <v>240</v>
      </c>
      <c r="G61" s="827" t="s">
        <v>241</v>
      </c>
      <c r="H61" s="17" t="s">
        <v>250</v>
      </c>
      <c r="I61" s="645" t="s">
        <v>242</v>
      </c>
      <c r="J61" s="646">
        <v>8.2904841883652196</v>
      </c>
      <c r="K61" s="671">
        <v>42.281469360662598</v>
      </c>
      <c r="L61" s="17"/>
      <c r="M61" s="17">
        <v>709</v>
      </c>
      <c r="N61">
        <f t="shared" si="3"/>
        <v>13355</v>
      </c>
      <c r="O61">
        <f t="shared" si="2"/>
        <v>6736.2619999999988</v>
      </c>
      <c r="P61" s="17">
        <v>57.344930887372101</v>
      </c>
      <c r="Q61" s="9">
        <v>339.90620275158102</v>
      </c>
      <c r="R61" s="17"/>
      <c r="S61" s="17"/>
      <c r="T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400">
        <v>335.429968889642</v>
      </c>
      <c r="AW61" s="17">
        <v>8.1158980226329192</v>
      </c>
      <c r="AX61" s="17"/>
      <c r="AY61" s="17">
        <v>0</v>
      </c>
      <c r="AZ61" s="17">
        <v>0</v>
      </c>
      <c r="BA61" s="17"/>
      <c r="BB61" s="101">
        <v>63.572891334207803</v>
      </c>
      <c r="BC61" s="17">
        <v>2555</v>
      </c>
      <c r="BD61" s="102">
        <v>0</v>
      </c>
      <c r="BE61" s="9">
        <v>0</v>
      </c>
      <c r="BF61" s="9">
        <v>0</v>
      </c>
      <c r="BG61" s="17">
        <v>0</v>
      </c>
      <c r="BH61" s="17">
        <v>0</v>
      </c>
      <c r="BI61" s="17">
        <v>0</v>
      </c>
      <c r="BJ61" s="17">
        <v>0</v>
      </c>
      <c r="BK61" s="17">
        <v>0</v>
      </c>
      <c r="BL61" s="17">
        <v>0</v>
      </c>
      <c r="BM61" s="17">
        <v>0</v>
      </c>
      <c r="BN61" s="17"/>
      <c r="BO61" s="17"/>
      <c r="BP61" s="17"/>
      <c r="BQ61" s="17"/>
      <c r="BR61" s="17">
        <v>79.303832527584703</v>
      </c>
      <c r="BS61" s="17"/>
      <c r="BT61" s="17">
        <v>0</v>
      </c>
      <c r="BU61" s="17"/>
      <c r="BV61" s="17"/>
      <c r="BW61" s="17">
        <v>63.572891334207803</v>
      </c>
      <c r="BX61" s="17"/>
      <c r="BY61" s="17">
        <v>68.446693188656397</v>
      </c>
      <c r="BZ61" s="17">
        <v>16.584510152953801</v>
      </c>
      <c r="CA61" s="17"/>
      <c r="CB61" s="17">
        <v>150</v>
      </c>
      <c r="CC61" s="17"/>
      <c r="CD61" s="17">
        <v>12.5</v>
      </c>
      <c r="CE61" s="17"/>
      <c r="CF61" s="17">
        <v>0</v>
      </c>
      <c r="CG61" s="17"/>
      <c r="CH61" s="17">
        <v>0</v>
      </c>
      <c r="CI61" s="17">
        <v>0</v>
      </c>
      <c r="CJ61" s="17"/>
      <c r="CK61" t="e">
        <f>SQRT(((2*[1]Sheet1!$G$24/2*BC61)/[1]Sheet1!$N$30*((1-([1]Sheet2!$BQ$879*[1]Sheet2!$BQ$881))*[1]Sheet2!$BQ$885/([1]Sheet2!$BQ$882*[1]Sheet2!$BQ$881))*60*29.37))</f>
        <v>#DIV/0!</v>
      </c>
      <c r="CM61" s="430">
        <v>0</v>
      </c>
      <c r="CN61" s="431">
        <v>4599786</v>
      </c>
      <c r="CO61" s="686">
        <v>0</v>
      </c>
      <c r="CP61" s="433">
        <v>0</v>
      </c>
      <c r="CQ61" t="e">
        <f t="shared" si="1"/>
        <v>#DIV/0!</v>
      </c>
      <c r="CR61" t="e">
        <f>((([1]Sheet1!$N$29/CH61)-1)*LN(CK61/([1]Sheet1!$G$24/2)))</f>
        <v>#DIV/0!</v>
      </c>
    </row>
    <row r="62" spans="1:96" ht="15" x14ac:dyDescent="0.25">
      <c r="A62" s="828">
        <v>600</v>
      </c>
      <c r="B62" s="829">
        <v>22.233571232433999</v>
      </c>
      <c r="C62" s="448">
        <v>1021.92</v>
      </c>
      <c r="D62" s="648">
        <v>113.391213285413</v>
      </c>
      <c r="E62" s="9">
        <v>119.03345028235201</v>
      </c>
      <c r="F62" s="9">
        <v>76.283572259143796</v>
      </c>
      <c r="G62" s="9">
        <v>75.804317335743804</v>
      </c>
      <c r="H62" s="17">
        <v>8.2079343365253106</v>
      </c>
      <c r="I62" s="417" t="s">
        <v>243</v>
      </c>
      <c r="J62" s="675">
        <v>5.6526028557035604</v>
      </c>
      <c r="K62" s="677">
        <v>28.828274564088201</v>
      </c>
      <c r="L62" s="17"/>
      <c r="M62" s="17">
        <v>729</v>
      </c>
      <c r="N62">
        <f t="shared" si="3"/>
        <v>13375</v>
      </c>
      <c r="O62">
        <f t="shared" si="2"/>
        <v>6746.3499999999995</v>
      </c>
      <c r="P62" s="17">
        <v>58.9625594032359</v>
      </c>
      <c r="Q62" s="9">
        <v>341.52383126744502</v>
      </c>
      <c r="R62" s="17"/>
      <c r="S62" s="17"/>
      <c r="T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400">
        <v>335.58413812189701</v>
      </c>
      <c r="AW62" s="17">
        <v>7.96172879037759</v>
      </c>
      <c r="AX62" s="17"/>
      <c r="AY62" s="17">
        <v>0</v>
      </c>
      <c r="AZ62" s="17">
        <v>0</v>
      </c>
      <c r="BA62" s="17"/>
      <c r="BB62" s="101">
        <v>64.842630932217602</v>
      </c>
      <c r="BC62" s="17">
        <v>2655</v>
      </c>
      <c r="BD62" s="102">
        <v>0</v>
      </c>
      <c r="BE62" s="9">
        <v>0</v>
      </c>
      <c r="BF62" s="9">
        <v>0</v>
      </c>
      <c r="BG62" s="17">
        <v>0</v>
      </c>
      <c r="BH62" s="17">
        <v>0</v>
      </c>
      <c r="BI62" s="17">
        <v>0</v>
      </c>
      <c r="BJ62" s="17">
        <v>0</v>
      </c>
      <c r="BK62" s="17">
        <v>0</v>
      </c>
      <c r="BL62" s="17">
        <v>0</v>
      </c>
      <c r="BM62" s="17">
        <v>0</v>
      </c>
      <c r="BN62" s="17"/>
      <c r="BO62" s="17"/>
      <c r="BP62" s="17"/>
      <c r="BQ62" s="17"/>
      <c r="BR62" s="17">
        <v>80.838692759402306</v>
      </c>
      <c r="BS62" s="17"/>
      <c r="BT62" s="17">
        <v>0</v>
      </c>
      <c r="BU62" s="17"/>
      <c r="BV62" s="17"/>
      <c r="BW62" s="17">
        <v>64.842630932217602</v>
      </c>
      <c r="BX62" s="17"/>
      <c r="BY62" s="17">
        <v>69.773302868200801</v>
      </c>
      <c r="BZ62" s="17">
        <v>16.022158985163799</v>
      </c>
      <c r="CA62" s="17"/>
      <c r="CB62" s="17">
        <v>140</v>
      </c>
      <c r="CC62" s="17"/>
      <c r="CD62" s="17">
        <v>11.6666666666667</v>
      </c>
      <c r="CE62" s="17"/>
      <c r="CF62" s="17">
        <v>0</v>
      </c>
      <c r="CG62" s="17"/>
      <c r="CH62" s="17">
        <v>0</v>
      </c>
      <c r="CI62" s="17">
        <v>0</v>
      </c>
      <c r="CJ62" s="17"/>
      <c r="CK62" t="e">
        <f>SQRT(((2*[1]Sheet1!$G$24/2*BC62)/[1]Sheet1!$N$30*((1-([1]Sheet2!$BQ$879*[1]Sheet2!$BQ$881))*[1]Sheet2!$BQ$885/([1]Sheet2!$BQ$882*[1]Sheet2!$BQ$881))*60*29.37))</f>
        <v>#DIV/0!</v>
      </c>
      <c r="CM62" s="430">
        <v>0</v>
      </c>
      <c r="CN62" s="431">
        <v>4599786</v>
      </c>
      <c r="CO62" s="686">
        <v>0</v>
      </c>
      <c r="CP62" s="433">
        <v>0</v>
      </c>
      <c r="CQ62" t="e">
        <f t="shared" si="1"/>
        <v>#DIV/0!</v>
      </c>
      <c r="CR62" t="e">
        <f>((([1]Sheet1!$N$29/CH62)-1)*LN(CK62/([1]Sheet1!$G$24/2)))</f>
        <v>#DIV/0!</v>
      </c>
    </row>
    <row r="63" spans="1:96" ht="15" x14ac:dyDescent="0.25">
      <c r="A63" s="828">
        <v>300</v>
      </c>
      <c r="B63" s="829">
        <v>13.9430870440688</v>
      </c>
      <c r="C63" s="281">
        <v>510.96</v>
      </c>
      <c r="D63" s="648">
        <v>71.109743924750802</v>
      </c>
      <c r="E63" s="9">
        <v>73.930862423220105</v>
      </c>
      <c r="F63" s="9">
        <v>71.109743924750802</v>
      </c>
      <c r="G63" s="9">
        <v>71.109743924750802</v>
      </c>
      <c r="H63" s="17">
        <v>8.2079343365253106</v>
      </c>
      <c r="I63" s="672" t="s">
        <v>244</v>
      </c>
      <c r="J63" s="673">
        <v>0.101325143787575</v>
      </c>
      <c r="K63" s="9"/>
      <c r="L63" s="17"/>
      <c r="M63" s="17">
        <v>749</v>
      </c>
      <c r="N63">
        <v>13390</v>
      </c>
      <c r="O63">
        <f t="shared" si="2"/>
        <v>6753.9159999999993</v>
      </c>
      <c r="P63" s="17">
        <v>60.5801879190997</v>
      </c>
      <c r="Q63" s="9">
        <v>343.14145978330799</v>
      </c>
      <c r="R63" s="17"/>
      <c r="S63" s="17"/>
      <c r="T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400">
        <v>335.72984267781601</v>
      </c>
      <c r="AW63" s="17">
        <v>7.81602423445801</v>
      </c>
      <c r="AX63" s="17"/>
      <c r="AY63" s="17">
        <v>0</v>
      </c>
      <c r="AZ63" s="17">
        <v>0</v>
      </c>
      <c r="BA63" s="17"/>
      <c r="BB63" s="101">
        <v>66.088696139326103</v>
      </c>
      <c r="BC63" s="17">
        <v>2755</v>
      </c>
      <c r="BD63" s="102">
        <v>0</v>
      </c>
      <c r="BE63" s="9">
        <v>0</v>
      </c>
      <c r="BF63" s="9">
        <v>0</v>
      </c>
      <c r="BG63" s="17">
        <v>0</v>
      </c>
      <c r="BH63" s="17">
        <v>0</v>
      </c>
      <c r="BI63" s="17">
        <v>0</v>
      </c>
      <c r="BJ63" s="17">
        <v>0</v>
      </c>
      <c r="BK63" s="17">
        <v>0</v>
      </c>
      <c r="BL63" s="17">
        <v>0</v>
      </c>
      <c r="BM63" s="17">
        <v>0</v>
      </c>
      <c r="BN63" s="17"/>
      <c r="BO63" s="17"/>
      <c r="BP63" s="17"/>
      <c r="BQ63" s="17"/>
      <c r="BR63" s="17">
        <v>82.344949089394007</v>
      </c>
      <c r="BS63" s="17"/>
      <c r="BT63" s="17">
        <v>0</v>
      </c>
      <c r="BU63" s="17"/>
      <c r="BV63" s="17"/>
      <c r="BW63" s="17">
        <v>66.088696139326103</v>
      </c>
      <c r="BX63" s="17"/>
      <c r="BY63" s="17">
        <v>71.075155840935693</v>
      </c>
      <c r="BZ63" s="17">
        <v>15.4393387189447</v>
      </c>
      <c r="CA63" s="17"/>
      <c r="CB63" s="17">
        <v>130</v>
      </c>
      <c r="CC63" s="17"/>
      <c r="CD63" s="17">
        <v>10.8333333333333</v>
      </c>
      <c r="CE63" s="17"/>
      <c r="CF63" s="17">
        <v>0</v>
      </c>
      <c r="CG63" s="17"/>
      <c r="CH63" s="17">
        <v>0</v>
      </c>
      <c r="CI63" s="17">
        <v>0</v>
      </c>
      <c r="CJ63" s="17"/>
      <c r="CK63" t="e">
        <f>SQRT(((2*[1]Sheet1!$G$24/2*BC63)/[1]Sheet1!$N$30*((1-([1]Sheet2!$BQ$879*[1]Sheet2!$BQ$881))*[1]Sheet2!$BQ$885/([1]Sheet2!$BQ$882*[1]Sheet2!$BQ$881))*60*29.37))</f>
        <v>#DIV/0!</v>
      </c>
      <c r="CM63" s="430">
        <v>0</v>
      </c>
      <c r="CN63" s="431">
        <v>4599786</v>
      </c>
      <c r="CO63" s="686">
        <v>0</v>
      </c>
      <c r="CP63" s="433">
        <v>0</v>
      </c>
      <c r="CQ63" t="e">
        <f t="shared" si="1"/>
        <v>#DIV/0!</v>
      </c>
      <c r="CR63" t="e">
        <f>((([1]Sheet1!$N$29/CH63)-1)*LN(CK63/([1]Sheet1!$G$24/2)))</f>
        <v>#DIV/0!</v>
      </c>
    </row>
    <row r="64" spans="1:96" ht="15" x14ac:dyDescent="0.25">
      <c r="A64" s="828">
        <v>0</v>
      </c>
      <c r="B64" s="829">
        <v>0</v>
      </c>
      <c r="C64" s="281">
        <v>0</v>
      </c>
      <c r="D64" s="648">
        <v>0</v>
      </c>
      <c r="E64" s="9">
        <v>0</v>
      </c>
      <c r="F64" s="9">
        <v>0</v>
      </c>
      <c r="G64" s="9">
        <v>0</v>
      </c>
      <c r="H64" s="17">
        <v>8.2079343365253106</v>
      </c>
      <c r="I64" s="417" t="s">
        <v>245</v>
      </c>
      <c r="J64" s="677">
        <v>3780.0837526401301</v>
      </c>
      <c r="K64" s="9"/>
      <c r="L64" s="17"/>
      <c r="M64" s="17"/>
      <c r="N64" s="17"/>
      <c r="O64" s="17"/>
      <c r="P64" s="9"/>
      <c r="Q64" s="17"/>
      <c r="R64" s="17"/>
      <c r="S64" s="17"/>
      <c r="T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400">
        <v>335.86782983449399</v>
      </c>
      <c r="AW64" s="17">
        <v>7.67803707778004</v>
      </c>
      <c r="AX64" s="17"/>
      <c r="AY64" s="17">
        <v>0</v>
      </c>
      <c r="AZ64" s="17">
        <v>0</v>
      </c>
      <c r="BA64" s="17"/>
      <c r="BB64" s="101">
        <v>67.312363788622307</v>
      </c>
      <c r="BC64" s="17">
        <v>2855</v>
      </c>
      <c r="BD64" s="102">
        <v>0</v>
      </c>
      <c r="BE64" s="9">
        <v>0</v>
      </c>
      <c r="BF64" s="9">
        <v>0</v>
      </c>
      <c r="BG64" s="17">
        <v>0</v>
      </c>
      <c r="BH64" s="17">
        <v>0</v>
      </c>
      <c r="BI64" s="17">
        <v>0</v>
      </c>
      <c r="BJ64" s="17">
        <v>0</v>
      </c>
      <c r="BK64" s="17">
        <v>0</v>
      </c>
      <c r="BL64" s="17">
        <v>0</v>
      </c>
      <c r="BM64" s="17">
        <v>0</v>
      </c>
      <c r="BN64" s="17"/>
      <c r="BO64" s="17"/>
      <c r="BP64" s="17"/>
      <c r="BQ64" s="17"/>
      <c r="BR64" s="17">
        <v>83.824143503054799</v>
      </c>
      <c r="BS64" s="17"/>
      <c r="BT64" s="17">
        <v>0</v>
      </c>
      <c r="BU64" s="17"/>
      <c r="BV64" s="17"/>
      <c r="BW64" s="17">
        <v>67.312363788622307</v>
      </c>
      <c r="BX64" s="17"/>
      <c r="BY64" s="17">
        <v>72.353588456198395</v>
      </c>
      <c r="BZ64" s="17">
        <v>14.833636830216101</v>
      </c>
      <c r="CA64" s="17"/>
      <c r="CB64" s="17">
        <v>120</v>
      </c>
      <c r="CC64" s="17"/>
      <c r="CD64" s="17">
        <v>10</v>
      </c>
      <c r="CE64" s="17"/>
      <c r="CF64" s="17">
        <v>0</v>
      </c>
      <c r="CG64" s="17"/>
      <c r="CH64" s="17">
        <v>0</v>
      </c>
      <c r="CI64" s="17">
        <v>0</v>
      </c>
      <c r="CJ64" s="17"/>
      <c r="CK64" t="e">
        <f>SQRT(((2*[1]Sheet1!$G$24/2*BC64)/[1]Sheet1!$N$30*((1-([1]Sheet2!$BQ$879*[1]Sheet2!$BQ$881))*[1]Sheet2!$BQ$885/([1]Sheet2!$BQ$882*[1]Sheet2!$BQ$881))*60*29.37))</f>
        <v>#DIV/0!</v>
      </c>
      <c r="CM64" s="430">
        <v>0</v>
      </c>
      <c r="CN64" s="431">
        <v>4599786</v>
      </c>
      <c r="CO64" s="686">
        <v>0</v>
      </c>
      <c r="CP64" s="433">
        <v>0</v>
      </c>
      <c r="CQ64" t="e">
        <f t="shared" si="1"/>
        <v>#DIV/0!</v>
      </c>
      <c r="CR64" t="e">
        <f>((([1]Sheet1!$N$29/CH64)-1)*LN(CK64/([1]Sheet1!$G$24/2)))</f>
        <v>#DIV/0!</v>
      </c>
    </row>
    <row r="65" spans="1:96" ht="15" x14ac:dyDescent="0.25">
      <c r="A65" s="828">
        <v>0</v>
      </c>
      <c r="B65" s="829">
        <v>0</v>
      </c>
      <c r="C65" s="281">
        <v>0</v>
      </c>
      <c r="D65" s="648">
        <v>0</v>
      </c>
      <c r="E65" s="9">
        <v>0</v>
      </c>
      <c r="F65" s="9">
        <v>0</v>
      </c>
      <c r="G65" s="9">
        <v>0</v>
      </c>
      <c r="H65" s="17">
        <v>8.2079343365253106</v>
      </c>
      <c r="I65" s="645" t="s">
        <v>246</v>
      </c>
      <c r="J65" s="671">
        <v>27.075967678820099</v>
      </c>
      <c r="K65" s="9"/>
      <c r="L65" s="17"/>
      <c r="M65" s="17"/>
      <c r="N65" s="17"/>
      <c r="O65" s="17"/>
      <c r="P65" s="17"/>
      <c r="Q65" s="17"/>
      <c r="R65" s="17"/>
      <c r="S65" s="17"/>
      <c r="T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400"/>
      <c r="AW65" s="17"/>
      <c r="AX65" s="17"/>
      <c r="AY65" s="17">
        <v>0</v>
      </c>
      <c r="AZ65" s="17">
        <v>0</v>
      </c>
      <c r="BA65" s="17"/>
      <c r="BB65" s="101">
        <v>59.947055538520402</v>
      </c>
      <c r="BC65" s="9">
        <v>3600</v>
      </c>
      <c r="BD65" s="102">
        <v>0</v>
      </c>
      <c r="BE65" s="9">
        <v>0</v>
      </c>
      <c r="BF65" s="9">
        <v>0</v>
      </c>
      <c r="BG65" s="17">
        <v>0</v>
      </c>
      <c r="BH65" s="17">
        <v>0</v>
      </c>
      <c r="BI65" s="17">
        <v>0</v>
      </c>
      <c r="BJ65" s="17">
        <v>0</v>
      </c>
      <c r="BK65" s="17">
        <v>0</v>
      </c>
      <c r="BL65" s="17">
        <v>0</v>
      </c>
      <c r="BM65" s="17">
        <v>0</v>
      </c>
      <c r="BN65" s="17"/>
      <c r="BO65" s="17"/>
      <c r="BP65" s="17"/>
      <c r="BQ65" s="17"/>
      <c r="BR65" s="17">
        <v>94.115196251669303</v>
      </c>
      <c r="BS65" s="17"/>
      <c r="BT65" s="17">
        <v>25.912914697486901</v>
      </c>
      <c r="BU65" s="17"/>
      <c r="BV65" s="17"/>
      <c r="BW65" s="17"/>
      <c r="BX65" s="17"/>
      <c r="BY65" s="17">
        <v>81.247175017487706</v>
      </c>
      <c r="BZ65" s="17">
        <v>14.2021260078617</v>
      </c>
      <c r="CA65" s="17"/>
      <c r="CB65" s="17">
        <v>110</v>
      </c>
      <c r="CC65" s="17"/>
      <c r="CD65" s="17">
        <v>9.1666666666666696</v>
      </c>
      <c r="CE65" s="17"/>
      <c r="CF65" s="17">
        <v>0</v>
      </c>
      <c r="CG65" s="17"/>
      <c r="CH65" s="17">
        <v>0</v>
      </c>
      <c r="CI65" s="17">
        <v>0</v>
      </c>
      <c r="CJ65" s="17"/>
      <c r="CK65" t="e">
        <f>SQRT(((2*[1]Sheet1!$G$24/2*BC65)/[1]Sheet1!$N$30*((1-([1]Sheet2!$BQ$879*[1]Sheet2!$BQ$881))*[1]Sheet2!$BQ$885/([1]Sheet2!$BQ$882*[1]Sheet2!$BQ$881))*60*29.37))</f>
        <v>#DIV/0!</v>
      </c>
      <c r="CM65" s="430">
        <v>0</v>
      </c>
      <c r="CN65" s="431">
        <v>4599786</v>
      </c>
      <c r="CO65" s="686">
        <v>0</v>
      </c>
      <c r="CP65" s="433">
        <v>0</v>
      </c>
      <c r="CQ65" t="e">
        <f t="shared" si="1"/>
        <v>#DIV/0!</v>
      </c>
      <c r="CR65" t="e">
        <f>((([1]Sheet1!$N$29/CH65)-1)*LN(CK65/([1]Sheet1!$G$24/2)))</f>
        <v>#DIV/0!</v>
      </c>
    </row>
    <row r="66" spans="1:96" ht="15" x14ac:dyDescent="0.25">
      <c r="A66" s="828">
        <v>0</v>
      </c>
      <c r="B66" s="829">
        <v>0</v>
      </c>
      <c r="C66" s="281">
        <v>0</v>
      </c>
      <c r="D66" s="648">
        <v>0</v>
      </c>
      <c r="E66" s="9">
        <v>0</v>
      </c>
      <c r="F66" s="9">
        <v>0</v>
      </c>
      <c r="G66" s="9">
        <v>0</v>
      </c>
      <c r="H66" s="17">
        <v>8.2079343365253106</v>
      </c>
      <c r="I66" s="672" t="s">
        <v>244</v>
      </c>
      <c r="J66" s="673">
        <v>0.14615078969192799</v>
      </c>
      <c r="K66" s="9"/>
      <c r="L66" s="17"/>
      <c r="M66" s="17"/>
      <c r="N66" s="17"/>
      <c r="O66" s="17"/>
      <c r="P66" s="17"/>
      <c r="Q66" s="17"/>
      <c r="R66" s="17"/>
      <c r="S66" s="17"/>
      <c r="T66" s="835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>
        <v>0</v>
      </c>
      <c r="BA66" s="17"/>
      <c r="BB66" s="17">
        <v>2280</v>
      </c>
      <c r="BC66" s="17">
        <v>3600</v>
      </c>
      <c r="BD66" s="102">
        <v>0</v>
      </c>
      <c r="BE66" s="17">
        <v>0</v>
      </c>
      <c r="BF66" s="17"/>
      <c r="BG66" s="9">
        <v>0</v>
      </c>
      <c r="BH66" s="17"/>
      <c r="BI66" s="17">
        <v>0</v>
      </c>
      <c r="BJ66" s="17"/>
      <c r="BK66" s="9"/>
      <c r="BL66" s="17">
        <v>0</v>
      </c>
      <c r="BM66" s="17">
        <v>0</v>
      </c>
      <c r="BN66" s="17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>
        <v>81.247175017487706</v>
      </c>
      <c r="BZ66" s="17">
        <v>13.541195836248001</v>
      </c>
      <c r="CA66" s="17"/>
      <c r="CB66" s="17">
        <v>100</v>
      </c>
      <c r="CC66" s="17"/>
      <c r="CD66" s="17">
        <v>8.3333333333333304</v>
      </c>
      <c r="CE66" s="17"/>
      <c r="CF66" s="17">
        <v>0</v>
      </c>
      <c r="CG66" s="17"/>
      <c r="CH66" s="17">
        <v>0</v>
      </c>
      <c r="CI66" s="17">
        <v>0</v>
      </c>
      <c r="CJ66" s="17"/>
      <c r="CK66" t="e">
        <f>SQRT(((2*[1]Sheet1!$G$24/2*BC66)/[1]Sheet1!$N$30*((1-([1]Sheet2!$BQ$879*[1]Sheet2!$BQ$881))*[1]Sheet2!$BQ$885/([1]Sheet2!$BQ$882*[1]Sheet2!$BQ$881))*60*29.37))</f>
        <v>#DIV/0!</v>
      </c>
      <c r="CM66" s="430">
        <v>0</v>
      </c>
      <c r="CN66" s="431">
        <v>4599786</v>
      </c>
      <c r="CO66" s="686">
        <v>0</v>
      </c>
      <c r="CP66" s="433">
        <v>0</v>
      </c>
      <c r="CQ66" t="e">
        <f t="shared" si="1"/>
        <v>#DIV/0!</v>
      </c>
      <c r="CR66" t="e">
        <f>((([1]Sheet1!$N$29/CH66)-1)*LN(CK66/([1]Sheet1!$G$24/2)))</f>
        <v>#DIV/0!</v>
      </c>
    </row>
    <row r="67" spans="1:96" x14ac:dyDescent="0.2">
      <c r="A67" s="828">
        <v>0</v>
      </c>
      <c r="B67" s="829">
        <v>0</v>
      </c>
      <c r="C67" s="522">
        <v>0</v>
      </c>
      <c r="D67" s="648">
        <v>0</v>
      </c>
      <c r="E67" s="9">
        <v>0</v>
      </c>
      <c r="F67" s="9">
        <v>0</v>
      </c>
      <c r="G67" s="9">
        <v>0</v>
      </c>
      <c r="H67" s="17">
        <v>8.2079343365253106</v>
      </c>
      <c r="I67" s="417" t="s">
        <v>248</v>
      </c>
      <c r="J67" s="677">
        <v>1769.9175946278599</v>
      </c>
      <c r="K67" s="9"/>
      <c r="L67" s="17"/>
      <c r="M67" s="17"/>
      <c r="N67" s="17"/>
      <c r="O67" s="17"/>
      <c r="P67" s="17"/>
      <c r="Q67" s="17"/>
      <c r="R67" s="17"/>
      <c r="S67" s="17"/>
      <c r="T67" s="835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>
        <v>12.846306325479601</v>
      </c>
      <c r="CA67" s="17"/>
      <c r="CB67" s="17">
        <v>90</v>
      </c>
      <c r="CC67" s="17"/>
      <c r="CD67" s="17">
        <v>7.5</v>
      </c>
      <c r="CE67" s="17"/>
      <c r="CF67" s="17">
        <v>0</v>
      </c>
      <c r="CG67" s="17"/>
      <c r="CH67" s="17"/>
      <c r="CI67" s="17"/>
      <c r="CJ67" s="17"/>
    </row>
    <row r="68" spans="1:96" x14ac:dyDescent="0.2">
      <c r="A68" s="9"/>
      <c r="B68" s="9"/>
      <c r="C68" s="9"/>
      <c r="D68" s="832" t="s">
        <v>30</v>
      </c>
      <c r="E68" s="836">
        <v>0.7</v>
      </c>
      <c r="F68" s="836">
        <v>0.8</v>
      </c>
      <c r="G68" s="834">
        <v>1</v>
      </c>
      <c r="H68" s="17">
        <v>8.2079343365253106</v>
      </c>
      <c r="I68" s="9"/>
      <c r="J68" s="9"/>
      <c r="K68" s="9"/>
      <c r="L68" s="17"/>
      <c r="M68" s="17"/>
      <c r="N68" s="17"/>
      <c r="O68" s="17"/>
      <c r="P68" s="17"/>
      <c r="Q68" s="17"/>
      <c r="R68" s="17"/>
      <c r="S68" s="17"/>
      <c r="T68" s="835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>
        <v>12.111613754595</v>
      </c>
      <c r="CA68" s="17"/>
      <c r="CB68" s="17">
        <v>80</v>
      </c>
      <c r="CC68" s="17"/>
      <c r="CD68" s="17">
        <v>6.6666666666666696</v>
      </c>
      <c r="CE68" s="17"/>
      <c r="CF68" s="17">
        <v>0</v>
      </c>
      <c r="CG68" s="17"/>
      <c r="CH68" s="17"/>
      <c r="CI68" s="17"/>
      <c r="CJ68" s="17"/>
    </row>
    <row r="69" spans="1:96" x14ac:dyDescent="0.2">
      <c r="A69" s="9"/>
      <c r="B69" s="9"/>
      <c r="C69" s="9"/>
      <c r="D69" s="9"/>
      <c r="E69" s="9"/>
      <c r="F69" s="9"/>
      <c r="G69" s="9"/>
      <c r="H69" s="17">
        <v>8.2079343365253106</v>
      </c>
      <c r="I69" s="18" t="s">
        <v>365</v>
      </c>
      <c r="J69" s="648"/>
      <c r="K69" s="9"/>
      <c r="L69" s="17"/>
      <c r="M69" s="17"/>
      <c r="N69" s="17"/>
      <c r="O69" s="17"/>
      <c r="P69" s="17"/>
      <c r="Q69" s="17"/>
      <c r="R69" s="17"/>
      <c r="S69" s="17"/>
      <c r="T69" s="835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  <c r="BO69" s="17"/>
      <c r="BP69" s="17"/>
      <c r="BQ69" s="17"/>
      <c r="BR69" s="17"/>
      <c r="BS69" s="17"/>
      <c r="BT69" s="17"/>
      <c r="BU69" s="17"/>
      <c r="BV69" s="17"/>
      <c r="BW69" s="17"/>
      <c r="BX69" s="17"/>
      <c r="BY69" s="17"/>
      <c r="BZ69" s="17">
        <v>11.3293772676583</v>
      </c>
      <c r="CA69" s="17"/>
      <c r="CB69" s="17">
        <v>70</v>
      </c>
      <c r="CC69" s="17"/>
      <c r="CD69" s="17">
        <v>5.8333333333333304</v>
      </c>
      <c r="CE69" s="17"/>
      <c r="CF69" s="17">
        <v>0</v>
      </c>
      <c r="CG69" s="17"/>
      <c r="CH69" s="17"/>
      <c r="CI69" s="17"/>
      <c r="CJ69" s="17"/>
    </row>
    <row r="70" spans="1:96" ht="15" x14ac:dyDescent="0.25">
      <c r="A70" s="9"/>
      <c r="B70" s="17"/>
      <c r="C70" s="101" t="s">
        <v>34</v>
      </c>
      <c r="D70" s="102" t="s">
        <v>14</v>
      </c>
      <c r="E70" s="102"/>
      <c r="F70" s="9"/>
      <c r="G70" s="9"/>
      <c r="H70" s="17">
        <v>8.2079343365253106</v>
      </c>
      <c r="I70" s="837" t="s">
        <v>366</v>
      </c>
      <c r="J70" s="838">
        <v>2.74</v>
      </c>
      <c r="K70" s="9"/>
      <c r="L70" s="17"/>
      <c r="M70" s="17"/>
      <c r="N70" s="17"/>
      <c r="O70" s="17"/>
      <c r="P70" s="17"/>
      <c r="Q70" s="17"/>
      <c r="R70" s="17"/>
      <c r="S70" s="17"/>
      <c r="T70" s="835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17"/>
      <c r="BZ70" s="17">
        <v>10.488965192304301</v>
      </c>
      <c r="CA70" s="17"/>
      <c r="CB70" s="17">
        <v>60</v>
      </c>
      <c r="CC70" s="17"/>
      <c r="CD70" s="17">
        <v>5</v>
      </c>
      <c r="CE70" s="17"/>
      <c r="CF70" s="17">
        <v>0</v>
      </c>
      <c r="CG70" s="17"/>
      <c r="CH70" s="17"/>
      <c r="CI70" s="17"/>
      <c r="CJ70" s="17"/>
    </row>
    <row r="71" spans="1:96" x14ac:dyDescent="0.2">
      <c r="A71" s="9" t="s">
        <v>21</v>
      </c>
      <c r="B71" s="9"/>
      <c r="C71" s="9">
        <v>7690.8</v>
      </c>
      <c r="D71" s="9" t="s">
        <v>253</v>
      </c>
      <c r="E71" s="9"/>
      <c r="F71" s="9"/>
      <c r="G71" s="9"/>
      <c r="H71" s="17">
        <v>8.2079343365253106</v>
      </c>
      <c r="I71" s="839" t="s">
        <v>367</v>
      </c>
      <c r="J71" s="840">
        <v>-6.4000000000000003E-3</v>
      </c>
      <c r="K71" s="9"/>
      <c r="L71" s="17"/>
      <c r="M71" s="17"/>
      <c r="N71" s="17"/>
      <c r="O71" s="17"/>
      <c r="P71" s="17"/>
      <c r="Q71" s="17"/>
      <c r="R71" s="17"/>
      <c r="S71" s="17"/>
      <c r="T71" s="835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17"/>
      <c r="BN71" s="17"/>
      <c r="BO71" s="17"/>
      <c r="BP71" s="17"/>
      <c r="BQ71" s="17"/>
      <c r="BR71" s="17"/>
      <c r="BS71" s="17"/>
      <c r="BT71" s="17"/>
      <c r="BU71" s="17"/>
      <c r="BV71" s="17"/>
      <c r="BW71" s="17"/>
      <c r="BX71" s="17"/>
      <c r="BY71" s="17"/>
      <c r="BZ71" s="17">
        <v>9.5750714011859692</v>
      </c>
      <c r="CA71" s="17"/>
      <c r="CB71" s="17">
        <v>50</v>
      </c>
      <c r="CC71" s="17"/>
      <c r="CD71" s="17">
        <v>4.1666666666666696</v>
      </c>
      <c r="CE71" s="17"/>
      <c r="CF71" s="17">
        <v>0</v>
      </c>
      <c r="CG71" s="17"/>
      <c r="CH71" s="17"/>
      <c r="CI71" s="17"/>
      <c r="CJ71" s="17"/>
    </row>
    <row r="72" spans="1:96" x14ac:dyDescent="0.2">
      <c r="A72" s="9" t="s">
        <v>256</v>
      </c>
      <c r="B72" s="9"/>
      <c r="C72" s="9">
        <v>10.0267379679144</v>
      </c>
      <c r="D72" s="9" t="s">
        <v>257</v>
      </c>
      <c r="E72" s="9">
        <v>17.647058823529399</v>
      </c>
      <c r="F72" s="9" t="s">
        <v>258</v>
      </c>
      <c r="G72" s="17"/>
      <c r="H72" s="17">
        <v>8.2079343365253106</v>
      </c>
      <c r="I72" s="841" t="s">
        <v>368</v>
      </c>
      <c r="J72" s="842">
        <v>1.0000000000000001E-5</v>
      </c>
      <c r="K72" s="9"/>
      <c r="L72" s="17"/>
      <c r="M72" s="17"/>
      <c r="N72" s="17"/>
      <c r="O72" s="17"/>
      <c r="P72" s="17"/>
      <c r="Q72" s="17"/>
      <c r="R72" s="17"/>
      <c r="S72" s="17"/>
      <c r="T72" s="835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  <c r="BM72" s="17"/>
      <c r="BN72" s="17"/>
      <c r="BO72" s="17"/>
      <c r="BP72" s="17"/>
      <c r="BQ72" s="17"/>
      <c r="BR72" s="17"/>
      <c r="BS72" s="17"/>
      <c r="BT72" s="17"/>
      <c r="BU72" s="17"/>
      <c r="BV72" s="17"/>
      <c r="BW72" s="17"/>
      <c r="BX72" s="17"/>
      <c r="BY72" s="17"/>
      <c r="BZ72" s="17">
        <v>8.5642042169864006</v>
      </c>
      <c r="CA72" s="17"/>
      <c r="CB72" s="17">
        <v>40</v>
      </c>
      <c r="CC72" s="17"/>
      <c r="CD72" s="17">
        <v>3.3333333333333299</v>
      </c>
      <c r="CE72" s="17"/>
      <c r="CF72" s="17">
        <v>0</v>
      </c>
      <c r="CG72" s="17"/>
      <c r="CH72" s="17"/>
      <c r="CI72" s="17"/>
      <c r="CJ72" s="17"/>
    </row>
    <row r="73" spans="1:96" x14ac:dyDescent="0.2">
      <c r="A73" s="9" t="s">
        <v>259</v>
      </c>
      <c r="B73" s="9"/>
      <c r="C73" s="9">
        <v>4255.62754937709</v>
      </c>
      <c r="D73" s="9" t="s">
        <v>260</v>
      </c>
      <c r="E73" s="9">
        <v>6.0350394389827304</v>
      </c>
      <c r="F73" s="9" t="s">
        <v>261</v>
      </c>
      <c r="G73" s="17"/>
      <c r="H73" s="17"/>
      <c r="I73" s="9"/>
      <c r="J73" s="9"/>
      <c r="K73" s="9"/>
      <c r="L73" s="17"/>
      <c r="M73" s="17"/>
      <c r="N73" s="17"/>
      <c r="O73" s="17"/>
      <c r="P73" s="17"/>
      <c r="Q73" s="17"/>
      <c r="R73" s="17"/>
      <c r="S73" s="17"/>
      <c r="T73" s="835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7"/>
      <c r="BM73" s="17"/>
      <c r="BN73" s="17"/>
      <c r="BO73" s="17"/>
      <c r="BP73" s="17"/>
      <c r="BQ73" s="17"/>
      <c r="BR73" s="17"/>
      <c r="BS73" s="17"/>
      <c r="BT73" s="17"/>
      <c r="BU73" s="17"/>
      <c r="BV73" s="17"/>
      <c r="BW73" s="17"/>
      <c r="BX73" s="17"/>
      <c r="BY73" s="17"/>
      <c r="BZ73" s="17">
        <v>7.4168184151080396</v>
      </c>
      <c r="CA73" s="17"/>
      <c r="CB73" s="17">
        <v>30</v>
      </c>
      <c r="CC73" s="17"/>
      <c r="CD73" s="17">
        <v>2.5</v>
      </c>
      <c r="CE73" s="17"/>
      <c r="CF73" s="17">
        <v>0</v>
      </c>
      <c r="CG73" s="17"/>
      <c r="CH73" s="17"/>
      <c r="CI73" s="17"/>
      <c r="CJ73" s="17"/>
    </row>
    <row r="74" spans="1:96" x14ac:dyDescent="0.2">
      <c r="A74" s="9" t="s">
        <v>262</v>
      </c>
      <c r="B74" s="9"/>
      <c r="C74" s="9">
        <v>1057.13041035482</v>
      </c>
      <c r="D74" s="9"/>
      <c r="E74" s="17"/>
      <c r="F74" s="17"/>
      <c r="G74" s="9"/>
      <c r="H74" s="17">
        <v>4.6439628482972104</v>
      </c>
      <c r="I74" s="9"/>
      <c r="J74" s="9"/>
      <c r="K74" s="9"/>
      <c r="L74" s="9"/>
      <c r="M74" s="563" t="s">
        <v>248</v>
      </c>
      <c r="N74" s="564" t="s">
        <v>263</v>
      </c>
      <c r="O74" s="565" t="s">
        <v>264</v>
      </c>
      <c r="R74" s="17"/>
      <c r="S74" s="17"/>
      <c r="T74" s="835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  <c r="BM74" s="17"/>
      <c r="BN74" s="17"/>
      <c r="BO74" s="17"/>
      <c r="BP74" s="17"/>
      <c r="BQ74" s="17"/>
      <c r="BR74" s="17"/>
      <c r="BS74" s="17"/>
      <c r="BT74" s="17"/>
      <c r="BU74" s="17"/>
      <c r="BV74" s="17"/>
      <c r="BW74" s="17"/>
      <c r="BX74" s="17"/>
      <c r="BY74" s="17"/>
      <c r="BZ74" s="17">
        <v>6.0558068772975098</v>
      </c>
      <c r="CA74" s="17"/>
      <c r="CB74" s="17">
        <v>20</v>
      </c>
      <c r="CC74" s="17"/>
      <c r="CD74" s="17">
        <v>1.6666666666666701</v>
      </c>
      <c r="CE74" s="17"/>
      <c r="CF74" s="17">
        <v>0</v>
      </c>
      <c r="CG74" s="17"/>
      <c r="CH74" s="17"/>
      <c r="CI74" s="17"/>
      <c r="CJ74" s="17"/>
    </row>
    <row r="75" spans="1:96" x14ac:dyDescent="0.2">
      <c r="A75" s="9" t="s">
        <v>265</v>
      </c>
      <c r="B75" s="9"/>
      <c r="C75" s="9"/>
      <c r="D75" s="9" t="s">
        <v>266</v>
      </c>
      <c r="E75" s="843">
        <v>7.7259965095948404</v>
      </c>
      <c r="F75" s="9" t="s">
        <v>258</v>
      </c>
      <c r="G75" s="17"/>
      <c r="H75" s="17">
        <v>2.0684348567126198</v>
      </c>
      <c r="I75" s="17"/>
      <c r="J75" s="9"/>
      <c r="K75" s="9"/>
      <c r="L75" s="9"/>
      <c r="M75" s="567">
        <v>4.4999999999999998E-2</v>
      </c>
      <c r="N75" s="568">
        <v>57.15</v>
      </c>
      <c r="O75" s="844">
        <v>1000</v>
      </c>
      <c r="R75" s="17"/>
      <c r="S75" s="17"/>
      <c r="T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7"/>
      <c r="BK75" s="17"/>
      <c r="BL75" s="17"/>
      <c r="BM75" s="17"/>
      <c r="BN75" s="17"/>
      <c r="BO75" s="17"/>
      <c r="BP75" s="17"/>
      <c r="BQ75" s="17"/>
      <c r="BR75" s="17"/>
      <c r="BS75" s="17"/>
      <c r="BT75" s="17"/>
      <c r="BU75" s="17"/>
      <c r="BV75" s="17"/>
      <c r="BW75" s="17"/>
      <c r="BX75" s="17"/>
      <c r="BY75" s="17"/>
      <c r="BZ75" s="17"/>
      <c r="CA75" s="17"/>
      <c r="CB75" s="17"/>
      <c r="CC75" s="17"/>
      <c r="CD75" s="17"/>
      <c r="CE75" s="17"/>
      <c r="CF75" s="17"/>
      <c r="CG75" s="17"/>
      <c r="CH75" s="17"/>
      <c r="CI75" s="17"/>
      <c r="CJ75" s="17"/>
    </row>
    <row r="76" spans="1:96" x14ac:dyDescent="0.2">
      <c r="A76" s="9" t="s">
        <v>75</v>
      </c>
      <c r="B76" s="9"/>
      <c r="C76" s="9">
        <v>13.3505066493268</v>
      </c>
      <c r="D76" s="9" t="s">
        <v>266</v>
      </c>
      <c r="E76" s="9">
        <v>30.534101308422098</v>
      </c>
      <c r="F76" s="9" t="s">
        <v>261</v>
      </c>
      <c r="G76" s="9"/>
      <c r="H76" s="17">
        <v>1.48122789526581</v>
      </c>
      <c r="I76" s="9"/>
      <c r="J76" s="9"/>
      <c r="K76" s="9"/>
      <c r="L76" s="9"/>
      <c r="M76" s="567">
        <v>4.4999999999999998E-2</v>
      </c>
      <c r="N76" s="568">
        <v>108.58499999999999</v>
      </c>
      <c r="O76" s="844">
        <v>1000</v>
      </c>
      <c r="R76" s="17"/>
      <c r="S76" s="17"/>
      <c r="T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7"/>
      <c r="BK76" s="17"/>
      <c r="BL76" s="17"/>
      <c r="BM76" s="17"/>
      <c r="BN76" s="17"/>
      <c r="BO76" s="17"/>
      <c r="BP76" s="17"/>
      <c r="BQ76" s="17"/>
      <c r="BR76" s="17"/>
      <c r="BS76" s="17"/>
      <c r="BT76" s="17"/>
      <c r="BU76" s="17"/>
      <c r="BV76" s="17"/>
      <c r="BW76" s="17"/>
      <c r="BX76" s="17"/>
      <c r="BY76" s="17"/>
      <c r="BZ76" s="17"/>
      <c r="CA76" s="17"/>
      <c r="CB76" s="17"/>
      <c r="CC76" s="17"/>
      <c r="CD76" s="17"/>
      <c r="CE76" s="17"/>
      <c r="CF76" s="17"/>
      <c r="CG76" s="17"/>
      <c r="CH76" s="17"/>
      <c r="CI76" s="17"/>
      <c r="CJ76" s="17"/>
    </row>
    <row r="77" spans="1:96" x14ac:dyDescent="0.2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R77" s="17"/>
      <c r="S77" s="17"/>
      <c r="T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7"/>
      <c r="BK77" s="17"/>
      <c r="BL77" s="17"/>
      <c r="BM77" s="17"/>
      <c r="BN77" s="17"/>
      <c r="BO77" s="17"/>
      <c r="BP77" s="17"/>
      <c r="BQ77" s="17"/>
      <c r="BR77" s="17"/>
      <c r="BS77" s="17"/>
      <c r="BT77" s="17"/>
      <c r="BU77" s="17"/>
      <c r="BV77" s="17"/>
      <c r="BW77" s="17"/>
      <c r="BX77" s="17"/>
      <c r="BY77" s="17"/>
      <c r="BZ77" s="17"/>
      <c r="CA77" s="17"/>
      <c r="CB77" s="17"/>
      <c r="CC77" s="17"/>
      <c r="CD77" s="17"/>
      <c r="CE77" s="17"/>
      <c r="CF77" s="17"/>
      <c r="CG77" s="17"/>
      <c r="CH77" s="17"/>
      <c r="CI77" s="17"/>
      <c r="CJ77" s="17"/>
    </row>
    <row r="78" spans="1:96" x14ac:dyDescent="0.2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R78" s="17"/>
      <c r="S78" s="17"/>
      <c r="T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7"/>
      <c r="BK78" s="17"/>
      <c r="BL78" s="17"/>
      <c r="BM78" s="17"/>
      <c r="BN78" s="17"/>
      <c r="BO78" s="17"/>
      <c r="BP78" s="17"/>
      <c r="BQ78" s="17"/>
      <c r="BR78" s="17"/>
      <c r="BS78" s="17"/>
      <c r="BT78" s="17"/>
      <c r="BU78" s="17"/>
      <c r="BV78" s="17"/>
      <c r="BW78" s="17"/>
      <c r="BX78" s="17"/>
      <c r="BY78" s="17"/>
      <c r="BZ78" s="17"/>
      <c r="CA78" s="17"/>
      <c r="CB78" s="17"/>
      <c r="CC78" s="17"/>
      <c r="CD78" s="17"/>
      <c r="CE78" s="17"/>
      <c r="CF78" s="17"/>
      <c r="CG78" s="17"/>
      <c r="CH78" s="17"/>
      <c r="CI78" s="17"/>
      <c r="CJ78" s="17"/>
    </row>
    <row r="79" spans="1:96" x14ac:dyDescent="0.2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P79" s="570" t="s">
        <v>268</v>
      </c>
      <c r="R79" s="17"/>
      <c r="S79" s="17"/>
      <c r="T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  <c r="BW79" s="17"/>
      <c r="BX79" s="17"/>
      <c r="BY79" s="17"/>
      <c r="BZ79" s="17"/>
      <c r="CA79" s="17"/>
      <c r="CB79" s="17"/>
      <c r="CC79" s="17"/>
      <c r="CD79" s="17"/>
      <c r="CE79" s="17"/>
      <c r="CF79" s="17"/>
      <c r="CG79" s="17"/>
      <c r="CH79" s="17"/>
      <c r="CI79" s="17"/>
      <c r="CJ79" s="17"/>
    </row>
    <row r="80" spans="1:96" x14ac:dyDescent="0.2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P80" s="571">
        <f>IF(N86&lt;2500,16/N86,1/(-4*LOG(((M75/N75)/3.7065)-(5.0452/N86)*LOG((M75/N75)^1.1098/2.8257+(7.149/N86)^0.8981)))^2)-0.001</f>
        <v>5.8729520009254219E-3</v>
      </c>
      <c r="R80" s="17"/>
      <c r="S80" s="17"/>
      <c r="T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  <c r="BW80" s="17"/>
      <c r="BX80" s="17"/>
      <c r="BY80" s="17"/>
      <c r="BZ80" s="17"/>
      <c r="CA80" s="17"/>
      <c r="CB80" s="17"/>
      <c r="CC80" s="17"/>
      <c r="CD80" s="17"/>
      <c r="CE80" s="17"/>
      <c r="CF80" s="17"/>
      <c r="CG80" s="17"/>
      <c r="CH80" s="17"/>
      <c r="CI80" s="17"/>
      <c r="CJ80" s="17"/>
    </row>
    <row r="81" spans="1:88" x14ac:dyDescent="0.2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571">
        <f>IF(N87&lt;2500,16/N87,1/(-4*LOG(((M76/N76)/3.7065)-(5.0452/N87)*LOG((M76/N76)^1.1098/2.8257+(7.149/N87)^0.8981)))^2)-0.001</f>
        <v>9.9157810058551864E-3</v>
      </c>
      <c r="Q81" s="17"/>
      <c r="R81" s="17"/>
      <c r="S81" s="17"/>
      <c r="T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7"/>
      <c r="BC81" s="17"/>
      <c r="BD81" s="17"/>
      <c r="BE81" s="17"/>
      <c r="BF81" s="17"/>
      <c r="BG81" s="17"/>
      <c r="BH81" s="17"/>
      <c r="BI81" s="17"/>
      <c r="BJ81" s="17"/>
      <c r="BK81" s="17"/>
      <c r="BL81" s="17"/>
      <c r="BM81" s="17"/>
      <c r="BN81" s="17"/>
      <c r="BO81" s="17"/>
      <c r="BP81" s="17"/>
      <c r="BQ81" s="17"/>
      <c r="BR81" s="17"/>
      <c r="BS81" s="17"/>
      <c r="BT81" s="17"/>
      <c r="BU81" s="17"/>
      <c r="BV81" s="17"/>
      <c r="BW81" s="17"/>
      <c r="BX81" s="17"/>
      <c r="BY81" s="17"/>
      <c r="BZ81" s="17"/>
      <c r="CA81" s="17"/>
      <c r="CB81" s="17"/>
      <c r="CC81" s="17"/>
      <c r="CD81" s="17"/>
      <c r="CE81" s="17"/>
      <c r="CF81" s="17"/>
      <c r="CG81" s="17"/>
      <c r="CH81" s="17"/>
      <c r="CI81" s="17"/>
      <c r="CJ81" s="17"/>
    </row>
    <row r="82" spans="1:88" x14ac:dyDescent="0.2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  <c r="BW82" s="17"/>
      <c r="BX82" s="17"/>
      <c r="BY82" s="17"/>
      <c r="BZ82" s="17"/>
      <c r="CA82" s="17"/>
      <c r="CB82" s="17"/>
      <c r="CC82" s="17"/>
      <c r="CD82" s="17"/>
      <c r="CE82" s="17"/>
      <c r="CF82" s="17"/>
      <c r="CG82" s="17"/>
      <c r="CH82" s="17"/>
      <c r="CI82" s="17"/>
      <c r="CJ82" s="17"/>
    </row>
    <row r="83" spans="1:88" ht="15" x14ac:dyDescent="0.25">
      <c r="A83" s="9"/>
      <c r="B83" s="653" t="s">
        <v>264</v>
      </c>
      <c r="C83" s="654">
        <v>5001.3678460855399</v>
      </c>
      <c r="D83" s="654" t="s">
        <v>269</v>
      </c>
      <c r="E83" s="655" t="s">
        <v>270</v>
      </c>
      <c r="F83" s="654">
        <v>0</v>
      </c>
      <c r="G83" s="655" t="s">
        <v>271</v>
      </c>
      <c r="H83" s="845">
        <v>3.1043690730208498E-3</v>
      </c>
      <c r="I83" s="655" t="s">
        <v>272</v>
      </c>
      <c r="J83" s="657">
        <v>60.9845950480656</v>
      </c>
      <c r="K83" s="17"/>
      <c r="L83" s="645"/>
      <c r="M83" s="646" t="s">
        <v>273</v>
      </c>
      <c r="N83" s="431"/>
      <c r="O83" s="431" t="s">
        <v>274</v>
      </c>
      <c r="P83" s="431">
        <v>0.8</v>
      </c>
      <c r="Q83" s="431"/>
      <c r="R83" s="431"/>
      <c r="S83" s="686"/>
      <c r="T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  <c r="BW83" s="17"/>
      <c r="BX83" s="17"/>
      <c r="BY83" s="17"/>
      <c r="BZ83" s="17"/>
      <c r="CA83" s="17"/>
      <c r="CB83" s="17"/>
      <c r="CC83" s="17"/>
      <c r="CD83" s="17"/>
      <c r="CE83" s="17"/>
      <c r="CF83" s="17"/>
      <c r="CG83" s="17"/>
      <c r="CH83" s="17"/>
      <c r="CI83" s="17"/>
      <c r="CJ83" s="17"/>
    </row>
    <row r="84" spans="1:88" ht="15" x14ac:dyDescent="0.25">
      <c r="A84" s="9"/>
      <c r="B84" s="658" t="s">
        <v>264</v>
      </c>
      <c r="C84" s="654">
        <v>5001.3678460855399</v>
      </c>
      <c r="D84" s="654" t="s">
        <v>269</v>
      </c>
      <c r="E84" s="659" t="s">
        <v>270</v>
      </c>
      <c r="F84" s="654">
        <v>0</v>
      </c>
      <c r="G84" s="659" t="s">
        <v>271</v>
      </c>
      <c r="H84" s="845">
        <v>3.1043690730208498E-3</v>
      </c>
      <c r="I84" s="659" t="s">
        <v>272</v>
      </c>
      <c r="J84" s="657">
        <v>0</v>
      </c>
      <c r="K84" s="17"/>
      <c r="L84" s="672"/>
      <c r="M84" s="9"/>
      <c r="N84" s="17"/>
      <c r="O84" s="17"/>
      <c r="P84" s="17"/>
      <c r="Q84" s="17"/>
      <c r="R84" s="17"/>
      <c r="S84" s="452"/>
      <c r="T84" s="17"/>
    </row>
    <row r="85" spans="1:88" ht="15" x14ac:dyDescent="0.25">
      <c r="A85" s="9"/>
      <c r="B85" s="658" t="s">
        <v>264</v>
      </c>
      <c r="C85" s="654">
        <v>5001.3678460855399</v>
      </c>
      <c r="D85" s="654" t="s">
        <v>269</v>
      </c>
      <c r="E85" s="659" t="s">
        <v>270</v>
      </c>
      <c r="F85" s="654">
        <v>0</v>
      </c>
      <c r="G85" s="659" t="s">
        <v>271</v>
      </c>
      <c r="H85" s="845">
        <v>3.1043690730208498E-3</v>
      </c>
      <c r="I85" s="659" t="s">
        <v>272</v>
      </c>
      <c r="J85" s="657">
        <v>0</v>
      </c>
      <c r="K85" s="17"/>
      <c r="L85" s="672"/>
      <c r="M85" s="9" t="s">
        <v>276</v>
      </c>
      <c r="N85" s="17"/>
      <c r="O85" s="17"/>
      <c r="P85" s="17"/>
      <c r="Q85" s="17"/>
      <c r="R85" s="17"/>
      <c r="S85" s="452"/>
      <c r="T85" s="17"/>
    </row>
    <row r="86" spans="1:88" ht="15" x14ac:dyDescent="0.25">
      <c r="A86" s="9"/>
      <c r="B86" s="658" t="s">
        <v>264</v>
      </c>
      <c r="C86" s="654">
        <v>5001.3678460855399</v>
      </c>
      <c r="D86" s="654" t="s">
        <v>269</v>
      </c>
      <c r="E86" s="659" t="s">
        <v>270</v>
      </c>
      <c r="F86" s="654">
        <v>0</v>
      </c>
      <c r="G86" s="659" t="s">
        <v>271</v>
      </c>
      <c r="H86" s="845">
        <v>3.1043690730208498E-3</v>
      </c>
      <c r="I86" s="659" t="s">
        <v>272</v>
      </c>
      <c r="J86" s="657">
        <v>0</v>
      </c>
      <c r="K86" s="17"/>
      <c r="L86" s="672" t="s">
        <v>277</v>
      </c>
      <c r="M86" s="9"/>
      <c r="N86" s="9">
        <v>20371.4382433432</v>
      </c>
      <c r="O86" s="17">
        <v>5.4223960425784897E-3</v>
      </c>
      <c r="P86" s="400">
        <v>218.078535038468</v>
      </c>
      <c r="Q86" s="17" t="s">
        <v>22</v>
      </c>
      <c r="R86" s="17" t="s">
        <v>278</v>
      </c>
      <c r="S86" s="452">
        <v>0</v>
      </c>
      <c r="T86" s="17"/>
    </row>
    <row r="87" spans="1:88" ht="15" x14ac:dyDescent="0.25">
      <c r="A87" s="9"/>
      <c r="B87" s="658" t="s">
        <v>264</v>
      </c>
      <c r="C87" s="654">
        <v>5001.3678460855399</v>
      </c>
      <c r="D87" s="654" t="s">
        <v>269</v>
      </c>
      <c r="E87" s="659" t="s">
        <v>270</v>
      </c>
      <c r="F87" s="654">
        <v>0</v>
      </c>
      <c r="G87" s="659" t="s">
        <v>271</v>
      </c>
      <c r="H87" s="845">
        <v>3.1043690730208498E-3</v>
      </c>
      <c r="I87" s="659" t="s">
        <v>272</v>
      </c>
      <c r="J87" s="657">
        <v>0</v>
      </c>
      <c r="K87" s="17"/>
      <c r="L87" s="672" t="s">
        <v>279</v>
      </c>
      <c r="M87" s="9"/>
      <c r="N87" s="9">
        <v>3014.3588101349101</v>
      </c>
      <c r="O87" s="17">
        <v>1.06617465575251E-2</v>
      </c>
      <c r="P87" s="400">
        <v>459.10057642844203</v>
      </c>
      <c r="Q87" s="17" t="s">
        <v>22</v>
      </c>
      <c r="R87" s="17" t="s">
        <v>278</v>
      </c>
      <c r="S87" s="452">
        <v>0</v>
      </c>
      <c r="T87" s="17"/>
    </row>
    <row r="88" spans="1:88" ht="15" x14ac:dyDescent="0.25">
      <c r="A88" s="9"/>
      <c r="B88" s="658" t="s">
        <v>264</v>
      </c>
      <c r="C88" s="654">
        <v>5001.3678460855399</v>
      </c>
      <c r="D88" s="654" t="s">
        <v>269</v>
      </c>
      <c r="E88" s="659" t="s">
        <v>270</v>
      </c>
      <c r="F88" s="654">
        <v>0</v>
      </c>
      <c r="G88" s="659" t="s">
        <v>271</v>
      </c>
      <c r="H88" s="845">
        <v>3.1043690730208498E-3</v>
      </c>
      <c r="I88" s="659" t="s">
        <v>272</v>
      </c>
      <c r="J88" s="657">
        <v>0</v>
      </c>
      <c r="K88" s="17"/>
      <c r="L88" s="672"/>
      <c r="M88" s="9"/>
      <c r="N88" s="9"/>
      <c r="O88" s="17" t="s">
        <v>267</v>
      </c>
      <c r="P88" s="400">
        <v>677.17911146690994</v>
      </c>
      <c r="Q88" s="17" t="s">
        <v>22</v>
      </c>
      <c r="R88" s="17"/>
      <c r="S88" s="452"/>
      <c r="T88" s="17"/>
    </row>
    <row r="89" spans="1:88" ht="15" x14ac:dyDescent="0.25">
      <c r="A89" s="9"/>
      <c r="B89" s="658" t="s">
        <v>264</v>
      </c>
      <c r="C89" s="654">
        <v>5001.3678460855399</v>
      </c>
      <c r="D89" s="654" t="s">
        <v>269</v>
      </c>
      <c r="E89" s="659" t="s">
        <v>270</v>
      </c>
      <c r="F89" s="654">
        <v>0</v>
      </c>
      <c r="G89" s="659" t="s">
        <v>271</v>
      </c>
      <c r="H89" s="845">
        <v>3.1043690730208498E-3</v>
      </c>
      <c r="I89" s="659" t="s">
        <v>272</v>
      </c>
      <c r="J89" s="657">
        <v>0</v>
      </c>
      <c r="K89" s="17"/>
      <c r="L89" s="672"/>
      <c r="M89" s="9"/>
      <c r="N89" s="17"/>
      <c r="O89" s="17"/>
      <c r="P89" s="400"/>
      <c r="Q89" s="17"/>
      <c r="R89" s="17"/>
      <c r="S89" s="452"/>
      <c r="T89" s="17"/>
    </row>
    <row r="90" spans="1:88" ht="15" x14ac:dyDescent="0.25">
      <c r="A90" s="9"/>
      <c r="B90" s="658" t="s">
        <v>264</v>
      </c>
      <c r="C90" s="654">
        <v>5001.3678460855399</v>
      </c>
      <c r="D90" s="654" t="s">
        <v>269</v>
      </c>
      <c r="E90" s="659" t="s">
        <v>270</v>
      </c>
      <c r="F90" s="654">
        <v>0</v>
      </c>
      <c r="G90" s="659" t="s">
        <v>271</v>
      </c>
      <c r="H90" s="845">
        <v>3.1043690730208498E-3</v>
      </c>
      <c r="I90" s="659" t="s">
        <v>272</v>
      </c>
      <c r="J90" s="657">
        <v>0</v>
      </c>
      <c r="K90" s="17"/>
      <c r="L90" s="672"/>
      <c r="M90" s="9"/>
      <c r="N90" s="17" t="s">
        <v>280</v>
      </c>
      <c r="O90" s="17" t="s">
        <v>267</v>
      </c>
      <c r="P90" s="400">
        <v>1020.72497837918</v>
      </c>
      <c r="Q90" s="17" t="s">
        <v>22</v>
      </c>
      <c r="R90" s="17"/>
      <c r="S90" s="452"/>
      <c r="T90" s="17"/>
      <c r="AU90" s="17"/>
      <c r="AV90" s="17"/>
      <c r="AW90" s="17"/>
      <c r="AX90" s="17"/>
      <c r="AY90" s="17"/>
      <c r="AZ90" s="17"/>
      <c r="BA90" s="17"/>
      <c r="BB90" s="17"/>
    </row>
    <row r="91" spans="1:88" ht="15" x14ac:dyDescent="0.25">
      <c r="A91" s="9"/>
      <c r="B91" s="658" t="s">
        <v>264</v>
      </c>
      <c r="C91" s="654">
        <v>5001.3678460855399</v>
      </c>
      <c r="D91" s="654" t="s">
        <v>269</v>
      </c>
      <c r="E91" s="659" t="s">
        <v>270</v>
      </c>
      <c r="F91" s="654">
        <v>0</v>
      </c>
      <c r="G91" s="659" t="s">
        <v>271</v>
      </c>
      <c r="H91" s="845">
        <v>3.1043690730208498E-3</v>
      </c>
      <c r="I91" s="659" t="s">
        <v>272</v>
      </c>
      <c r="J91" s="657">
        <v>0</v>
      </c>
      <c r="K91" s="17"/>
      <c r="L91" s="672"/>
      <c r="M91" s="9"/>
      <c r="N91" s="17" t="s">
        <v>281</v>
      </c>
      <c r="O91" s="17"/>
      <c r="P91" s="400">
        <v>30</v>
      </c>
      <c r="Q91" s="17" t="s">
        <v>22</v>
      </c>
      <c r="R91" s="17"/>
      <c r="S91" s="452"/>
      <c r="T91" s="17"/>
      <c r="AU91" s="17"/>
      <c r="AV91" s="17"/>
      <c r="AW91" s="17"/>
      <c r="AX91" s="17"/>
      <c r="AY91" s="17"/>
      <c r="AZ91" s="17"/>
      <c r="BA91" s="17"/>
      <c r="BB91" s="17"/>
    </row>
    <row r="92" spans="1:88" ht="15" x14ac:dyDescent="0.25">
      <c r="A92" s="9"/>
      <c r="B92" s="658" t="s">
        <v>264</v>
      </c>
      <c r="C92" s="654">
        <v>5001.3678460855399</v>
      </c>
      <c r="D92" s="654" t="s">
        <v>269</v>
      </c>
      <c r="E92" s="659" t="s">
        <v>270</v>
      </c>
      <c r="F92" s="654">
        <v>0</v>
      </c>
      <c r="G92" s="659" t="s">
        <v>271</v>
      </c>
      <c r="H92" s="845">
        <v>3.1043690730208498E-3</v>
      </c>
      <c r="I92" s="659" t="s">
        <v>272</v>
      </c>
      <c r="J92" s="657">
        <v>0</v>
      </c>
      <c r="K92" s="17"/>
      <c r="L92" s="672"/>
      <c r="M92" s="17"/>
      <c r="N92" s="17"/>
      <c r="O92" s="17"/>
      <c r="P92" s="400">
        <v>1050.7249783791799</v>
      </c>
      <c r="Q92" s="17" t="s">
        <v>22</v>
      </c>
      <c r="R92" s="17"/>
      <c r="S92" s="400">
        <v>1050.7249783791799</v>
      </c>
      <c r="T92" s="17"/>
      <c r="AU92" s="17"/>
      <c r="AV92" s="17"/>
      <c r="AW92" s="17"/>
      <c r="AX92" s="17"/>
      <c r="AY92" s="17"/>
      <c r="AZ92" s="17"/>
      <c r="BA92" s="17"/>
      <c r="BB92" s="17"/>
    </row>
    <row r="93" spans="1:88" ht="15" x14ac:dyDescent="0.25">
      <c r="A93" s="9"/>
      <c r="B93" s="658" t="s">
        <v>264</v>
      </c>
      <c r="C93" s="654">
        <v>5001.3678460855399</v>
      </c>
      <c r="D93" s="654" t="s">
        <v>269</v>
      </c>
      <c r="E93" s="659" t="s">
        <v>270</v>
      </c>
      <c r="F93" s="654">
        <v>0</v>
      </c>
      <c r="G93" s="659" t="s">
        <v>271</v>
      </c>
      <c r="H93" s="845">
        <v>3.1043690730208498E-3</v>
      </c>
      <c r="I93" s="659" t="s">
        <v>272</v>
      </c>
      <c r="J93" s="657">
        <v>0</v>
      </c>
      <c r="K93" s="17"/>
      <c r="L93" s="672"/>
      <c r="M93" s="17"/>
      <c r="N93" s="17"/>
      <c r="O93" s="17"/>
      <c r="P93" s="682"/>
      <c r="Q93" s="17"/>
      <c r="R93" s="17"/>
      <c r="S93" s="846">
        <v>1050.7249783791799</v>
      </c>
      <c r="T93" s="17"/>
      <c r="AU93" s="17"/>
      <c r="AV93" s="17"/>
      <c r="AW93" s="17"/>
      <c r="AX93" s="17"/>
      <c r="AY93" s="17"/>
      <c r="AZ93" s="17"/>
      <c r="BA93" s="17"/>
      <c r="BB93" s="17"/>
    </row>
    <row r="94" spans="1:88" ht="15" x14ac:dyDescent="0.25">
      <c r="A94" s="9"/>
      <c r="B94" s="658"/>
      <c r="C94" s="662"/>
      <c r="D94" s="659"/>
      <c r="E94" s="659" t="s">
        <v>282</v>
      </c>
      <c r="F94" s="659">
        <v>0</v>
      </c>
      <c r="G94" s="659"/>
      <c r="H94" s="660"/>
      <c r="I94" s="659" t="s">
        <v>282</v>
      </c>
      <c r="J94" s="661">
        <v>60.9845950480656</v>
      </c>
      <c r="K94" s="17"/>
      <c r="L94" s="672"/>
      <c r="M94" s="17"/>
      <c r="O94" t="s">
        <v>369</v>
      </c>
      <c r="P94" s="407"/>
      <c r="Q94" s="54"/>
      <c r="R94" s="54" t="s">
        <v>283</v>
      </c>
      <c r="S94" s="452"/>
      <c r="T94" s="17"/>
      <c r="AU94" s="17"/>
      <c r="AV94" s="17"/>
      <c r="AW94" s="17"/>
      <c r="AX94" s="17"/>
      <c r="AY94" s="17"/>
      <c r="AZ94" s="17"/>
      <c r="BA94" s="17"/>
      <c r="BB94" s="17"/>
    </row>
    <row r="95" spans="1:88" ht="15" x14ac:dyDescent="0.25">
      <c r="A95" s="9" t="s">
        <v>261</v>
      </c>
      <c r="B95" s="658" t="s">
        <v>264</v>
      </c>
      <c r="C95" s="662">
        <v>1684.1653828533399</v>
      </c>
      <c r="D95" s="662" t="s">
        <v>278</v>
      </c>
      <c r="E95" s="659" t="s">
        <v>270</v>
      </c>
      <c r="F95" s="662" t="s">
        <v>370</v>
      </c>
      <c r="G95" s="659" t="s">
        <v>271</v>
      </c>
      <c r="H95" s="663">
        <v>0</v>
      </c>
      <c r="I95" s="659" t="s">
        <v>284</v>
      </c>
      <c r="J95" s="664">
        <v>0</v>
      </c>
      <c r="K95" s="17"/>
      <c r="L95" s="672"/>
      <c r="M95" s="9"/>
      <c r="N95" s="54" t="s">
        <v>285</v>
      </c>
      <c r="O95" s="581">
        <v>2916.3570810833799</v>
      </c>
      <c r="P95" s="581"/>
      <c r="Q95" s="54"/>
      <c r="R95" s="581">
        <v>1925.8961856210999</v>
      </c>
      <c r="S95" s="452"/>
      <c r="T95" s="17"/>
      <c r="AU95" s="17"/>
      <c r="AV95" s="17"/>
      <c r="AW95" s="17"/>
      <c r="AX95" s="17"/>
      <c r="AY95" s="17"/>
      <c r="AZ95" s="17"/>
      <c r="BA95" s="17"/>
      <c r="BB95" s="17"/>
    </row>
    <row r="96" spans="1:88" ht="15" x14ac:dyDescent="0.25">
      <c r="A96" s="9" t="s">
        <v>286</v>
      </c>
      <c r="B96" s="665" t="s">
        <v>264</v>
      </c>
      <c r="C96" s="666">
        <v>457.92200819715902</v>
      </c>
      <c r="D96" s="666" t="s">
        <v>278</v>
      </c>
      <c r="E96" s="667" t="s">
        <v>270</v>
      </c>
      <c r="F96" s="666">
        <v>232.561271864209</v>
      </c>
      <c r="G96" s="667" t="s">
        <v>271</v>
      </c>
      <c r="H96" s="847">
        <v>0</v>
      </c>
      <c r="I96" s="667" t="s">
        <v>284</v>
      </c>
      <c r="J96" s="668">
        <v>0</v>
      </c>
      <c r="K96" s="17"/>
      <c r="L96" s="692"/>
      <c r="M96" s="693"/>
      <c r="N96" s="594" t="s">
        <v>287</v>
      </c>
      <c r="O96" s="595">
        <v>1895.6321027042</v>
      </c>
      <c r="P96" s="595"/>
      <c r="Q96" s="594"/>
      <c r="R96" s="595">
        <v>905.17120724191795</v>
      </c>
      <c r="S96" s="469"/>
      <c r="T96" s="17"/>
      <c r="AU96" s="17"/>
      <c r="AV96" s="17"/>
      <c r="AW96" s="17"/>
      <c r="AX96" s="17"/>
      <c r="AY96" s="17"/>
      <c r="AZ96" s="17"/>
      <c r="BA96" s="17"/>
      <c r="BB96" s="17"/>
    </row>
    <row r="97" spans="1:54" x14ac:dyDescent="0.2">
      <c r="K97" s="17"/>
      <c r="L97" s="17"/>
      <c r="M97" s="17"/>
      <c r="N97" s="54" t="s">
        <v>45</v>
      </c>
      <c r="O97" s="581">
        <v>478.544591047084</v>
      </c>
      <c r="Q97" s="54"/>
      <c r="R97" s="581">
        <v>316.02001295562098</v>
      </c>
      <c r="S97" s="17"/>
      <c r="T97" s="17"/>
      <c r="AU97" s="17"/>
      <c r="AV97" s="17"/>
      <c r="AW97" s="17"/>
      <c r="AX97" s="17"/>
      <c r="AY97" s="17"/>
      <c r="AZ97" s="17"/>
      <c r="BA97" s="17"/>
      <c r="BB97" s="17"/>
    </row>
    <row r="98" spans="1:54" x14ac:dyDescent="0.2">
      <c r="A98" s="9"/>
      <c r="B98" s="9"/>
      <c r="C98" s="9"/>
      <c r="D98" s="9"/>
      <c r="E98" s="9"/>
      <c r="F98" s="9">
        <v>282.561271864209</v>
      </c>
      <c r="G98" s="9"/>
      <c r="H98" s="9"/>
      <c r="I98" s="9"/>
      <c r="J98" s="9">
        <v>60.9845950480656</v>
      </c>
      <c r="K98" s="9"/>
      <c r="L98" s="17"/>
      <c r="M98" s="9"/>
      <c r="N98" s="54" t="s">
        <v>289</v>
      </c>
      <c r="O98" s="566">
        <v>0.22569811086664901</v>
      </c>
      <c r="P98" s="54" t="s">
        <v>290</v>
      </c>
      <c r="Q98" s="54"/>
      <c r="R98" s="566">
        <v>0.32661760201575302</v>
      </c>
      <c r="S98" s="17"/>
      <c r="T98" s="17"/>
      <c r="AU98" s="17"/>
      <c r="AV98" s="17"/>
      <c r="AW98" s="17"/>
      <c r="AX98" s="17"/>
      <c r="AY98" s="17"/>
      <c r="AZ98" s="17"/>
      <c r="BA98" s="17"/>
      <c r="BB98" s="17"/>
    </row>
    <row r="99" spans="1:54" x14ac:dyDescent="0.2">
      <c r="A99" s="9" t="s">
        <v>288</v>
      </c>
      <c r="B99" s="9"/>
      <c r="C99" s="9"/>
      <c r="D99" s="9">
        <v>8034.3458669122701</v>
      </c>
      <c r="E99" s="9"/>
      <c r="F99" s="17"/>
      <c r="G99" s="17"/>
      <c r="H99" s="17"/>
      <c r="I99" s="9"/>
      <c r="J99" s="669"/>
      <c r="K99" s="9"/>
      <c r="L99" s="17"/>
      <c r="M99" s="9"/>
      <c r="N99" s="407" t="s">
        <v>291</v>
      </c>
      <c r="O99" s="581">
        <v>9.9039473587320099</v>
      </c>
      <c r="P99" s="566"/>
      <c r="Q99" s="566"/>
      <c r="R99" s="581">
        <v>11.9141799221954</v>
      </c>
      <c r="S99" s="17"/>
      <c r="T99" s="17"/>
      <c r="AU99" s="17"/>
      <c r="AV99" s="17"/>
      <c r="AW99" s="17"/>
      <c r="AX99" s="17"/>
      <c r="AY99" s="17"/>
      <c r="AZ99" s="17"/>
      <c r="BA99" s="17"/>
      <c r="BB99" s="17"/>
    </row>
    <row r="100" spans="1:54" ht="15" x14ac:dyDescent="0.25">
      <c r="A100" s="102" t="s">
        <v>123</v>
      </c>
      <c r="B100" s="102"/>
      <c r="C100" s="102"/>
      <c r="D100" s="17"/>
      <c r="E100" s="9"/>
      <c r="F100" s="9" t="s">
        <v>292</v>
      </c>
      <c r="G100" s="9"/>
      <c r="H100" s="9">
        <v>343.54586691227399</v>
      </c>
      <c r="I100" s="9"/>
      <c r="J100" s="17"/>
      <c r="K100" s="17"/>
      <c r="L100" s="17"/>
      <c r="M100" s="17"/>
      <c r="N100" s="54" t="s">
        <v>293</v>
      </c>
      <c r="O100" s="581">
        <v>9.9039473587320099</v>
      </c>
      <c r="P100" s="566"/>
      <c r="Q100" s="566"/>
      <c r="R100" s="581">
        <v>11.9141799221954</v>
      </c>
      <c r="S100" s="17"/>
      <c r="T100" s="17"/>
      <c r="AU100" s="17"/>
      <c r="AV100" s="17"/>
      <c r="AW100" s="17"/>
      <c r="AX100" s="17"/>
      <c r="AY100" s="17"/>
      <c r="AZ100" s="17"/>
      <c r="BA100" s="17"/>
      <c r="BB100" s="17"/>
    </row>
    <row r="101" spans="1:54" x14ac:dyDescent="0.2">
      <c r="A101" s="17"/>
      <c r="B101" s="17"/>
      <c r="C101" s="17"/>
      <c r="D101" s="17"/>
      <c r="E101" s="9"/>
      <c r="F101" s="17"/>
      <c r="G101" s="17"/>
      <c r="H101" s="9"/>
      <c r="I101" s="17"/>
      <c r="J101" s="17"/>
      <c r="K101" s="17"/>
      <c r="L101" s="17"/>
      <c r="M101" s="17"/>
      <c r="N101" s="54" t="s">
        <v>294</v>
      </c>
      <c r="O101" s="581">
        <v>9.9039473587320099</v>
      </c>
      <c r="P101" s="566"/>
      <c r="Q101" s="566"/>
      <c r="R101" s="581">
        <v>11.9141799221954</v>
      </c>
      <c r="S101" s="17"/>
      <c r="T101" s="17"/>
      <c r="AU101" s="17"/>
      <c r="AV101" s="17"/>
      <c r="AW101" s="17"/>
      <c r="AX101" s="17"/>
      <c r="AY101" s="17"/>
      <c r="AZ101" s="17"/>
      <c r="BA101" s="17"/>
      <c r="BB101" s="17"/>
    </row>
    <row r="102" spans="1:54" x14ac:dyDescent="0.2">
      <c r="A102" s="17"/>
      <c r="B102" s="17"/>
      <c r="C102" s="17"/>
      <c r="D102" s="17"/>
      <c r="E102" s="17"/>
      <c r="F102" s="17"/>
      <c r="G102" s="17"/>
      <c r="H102" s="9"/>
      <c r="I102" s="17"/>
      <c r="J102" s="17"/>
      <c r="K102" s="17"/>
      <c r="L102" s="17"/>
      <c r="M102" s="17"/>
      <c r="N102" s="54" t="s">
        <v>295</v>
      </c>
      <c r="O102" s="581" t="s">
        <v>46</v>
      </c>
      <c r="P102" s="566"/>
      <c r="Q102" s="566"/>
      <c r="R102" s="581" t="s">
        <v>46</v>
      </c>
      <c r="S102" s="17"/>
      <c r="T102" s="17"/>
      <c r="AU102" s="17"/>
      <c r="AV102" s="17"/>
      <c r="AW102" s="17"/>
      <c r="AX102" s="17"/>
      <c r="AY102" s="17"/>
      <c r="AZ102" s="17"/>
      <c r="BA102" s="17"/>
      <c r="BB102" s="17"/>
    </row>
    <row r="103" spans="1:54" x14ac:dyDescent="0.2">
      <c r="A103" s="17"/>
      <c r="B103" s="9" t="s">
        <v>296</v>
      </c>
      <c r="C103" s="9"/>
      <c r="D103" s="9"/>
      <c r="E103" s="9"/>
      <c r="F103" s="9"/>
      <c r="G103" s="9"/>
      <c r="H103" s="9"/>
      <c r="I103" s="17"/>
      <c r="J103" s="17"/>
      <c r="K103" s="17"/>
      <c r="L103" s="17"/>
      <c r="M103" s="9"/>
      <c r="N103" s="54" t="s">
        <v>297</v>
      </c>
      <c r="O103" s="581" t="s">
        <v>46</v>
      </c>
      <c r="P103" s="566"/>
      <c r="Q103" s="566"/>
      <c r="R103" s="581" t="s">
        <v>46</v>
      </c>
      <c r="S103" s="9"/>
      <c r="T103" s="17"/>
      <c r="AU103" s="17"/>
      <c r="AV103" s="17"/>
      <c r="AW103" s="17"/>
      <c r="AX103" s="17"/>
      <c r="AY103" s="17"/>
      <c r="AZ103" s="17"/>
      <c r="BA103" s="17"/>
      <c r="BB103" s="17"/>
    </row>
    <row r="104" spans="1:54" ht="14.25" x14ac:dyDescent="0.2">
      <c r="A104" s="17"/>
      <c r="B104" s="670" t="s">
        <v>298</v>
      </c>
      <c r="C104" s="646"/>
      <c r="D104" s="646"/>
      <c r="E104" s="671"/>
      <c r="F104" s="670" t="s">
        <v>299</v>
      </c>
      <c r="G104" s="646"/>
      <c r="H104" s="671">
        <v>0</v>
      </c>
      <c r="I104" s="17"/>
      <c r="J104" s="17"/>
      <c r="K104" s="17"/>
      <c r="L104" s="17"/>
      <c r="M104" s="17"/>
      <c r="N104" s="54" t="s">
        <v>300</v>
      </c>
      <c r="O104" s="581" t="s">
        <v>46</v>
      </c>
      <c r="P104" s="566"/>
      <c r="Q104" s="566"/>
      <c r="R104" s="581" t="s">
        <v>46</v>
      </c>
      <c r="S104" s="9"/>
      <c r="T104" s="17"/>
      <c r="AU104" s="17"/>
      <c r="AV104" s="17"/>
      <c r="AW104" s="17"/>
      <c r="AX104" s="17"/>
      <c r="AY104" s="17"/>
      <c r="AZ104" s="17"/>
      <c r="BA104" s="17"/>
      <c r="BB104" s="17"/>
    </row>
    <row r="105" spans="1:54" x14ac:dyDescent="0.2">
      <c r="A105" s="17"/>
      <c r="B105" s="672" t="s">
        <v>301</v>
      </c>
      <c r="C105" s="9"/>
      <c r="D105" s="9" t="s">
        <v>302</v>
      </c>
      <c r="E105" s="673">
        <v>0.59476641710169997</v>
      </c>
      <c r="F105" s="672" t="s">
        <v>301</v>
      </c>
      <c r="G105" s="9" t="s">
        <v>303</v>
      </c>
      <c r="H105" s="673">
        <v>32.558152874454102</v>
      </c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9"/>
      <c r="T105" s="17"/>
      <c r="AU105" s="17"/>
      <c r="AV105" s="17"/>
      <c r="AW105" s="17"/>
      <c r="AX105" s="17"/>
      <c r="AY105" s="17"/>
      <c r="AZ105" s="17"/>
      <c r="BA105" s="17"/>
      <c r="BB105" s="17"/>
    </row>
    <row r="106" spans="1:54" x14ac:dyDescent="0.2">
      <c r="A106" s="17"/>
      <c r="B106" s="672"/>
      <c r="C106" s="9"/>
      <c r="D106" s="9" t="s">
        <v>304</v>
      </c>
      <c r="E106" s="673">
        <v>2.3790656684067999</v>
      </c>
      <c r="F106" s="672"/>
      <c r="G106" s="9" t="s">
        <v>305</v>
      </c>
      <c r="H106" s="673">
        <v>525.93939258733496</v>
      </c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9"/>
      <c r="T106" s="17"/>
      <c r="AU106" s="17"/>
      <c r="AV106" s="17"/>
      <c r="AW106" s="17"/>
      <c r="AX106" s="17"/>
      <c r="AY106" s="17"/>
      <c r="AZ106" s="17"/>
      <c r="BA106" s="17"/>
      <c r="BB106" s="17"/>
    </row>
    <row r="107" spans="1:54" x14ac:dyDescent="0.2">
      <c r="A107" s="17"/>
      <c r="B107" s="672" t="s">
        <v>132</v>
      </c>
      <c r="C107" s="9"/>
      <c r="D107" s="9" t="s">
        <v>218</v>
      </c>
      <c r="E107" s="673">
        <v>59.947055538520402</v>
      </c>
      <c r="F107" s="672"/>
      <c r="G107" s="9" t="s">
        <v>306</v>
      </c>
      <c r="H107" s="674">
        <v>5.5E-2</v>
      </c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9"/>
      <c r="T107" s="17"/>
      <c r="AU107" s="17"/>
      <c r="AV107" s="17"/>
      <c r="AW107" s="17"/>
      <c r="AX107" s="17"/>
      <c r="AY107" s="17"/>
      <c r="AZ107" s="17"/>
      <c r="BA107" s="17"/>
      <c r="BB107" s="17"/>
    </row>
    <row r="108" spans="1:54" x14ac:dyDescent="0.2">
      <c r="A108" s="17"/>
      <c r="B108" s="417"/>
      <c r="C108" s="675"/>
      <c r="D108" s="675"/>
      <c r="E108" s="676"/>
      <c r="F108" s="672" t="s">
        <v>307</v>
      </c>
      <c r="G108" s="17">
        <v>3600</v>
      </c>
      <c r="H108" s="673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9"/>
      <c r="T108" s="17"/>
    </row>
    <row r="109" spans="1:54" x14ac:dyDescent="0.2">
      <c r="A109" s="17"/>
      <c r="B109" s="17"/>
      <c r="C109" s="17"/>
      <c r="D109" s="17"/>
      <c r="E109" s="9"/>
      <c r="F109" s="417" t="s">
        <v>132</v>
      </c>
      <c r="G109" s="675"/>
      <c r="H109" s="677">
        <v>0</v>
      </c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9"/>
      <c r="T109" s="17"/>
    </row>
    <row r="110" spans="1:54" x14ac:dyDescent="0.2">
      <c r="A110" s="17"/>
      <c r="B110" s="17"/>
      <c r="C110" s="17"/>
      <c r="D110" s="17"/>
      <c r="E110" s="17"/>
      <c r="F110" s="9"/>
      <c r="G110" s="17"/>
      <c r="H110" s="17"/>
      <c r="I110" s="17"/>
      <c r="J110" s="17"/>
      <c r="K110" s="17"/>
      <c r="L110" s="9"/>
      <c r="M110" s="9"/>
      <c r="N110" s="9"/>
      <c r="O110" s="9"/>
      <c r="P110" s="9"/>
      <c r="Q110" s="17"/>
      <c r="R110" s="17"/>
      <c r="S110" s="17"/>
      <c r="T110" s="17"/>
    </row>
    <row r="111" spans="1:54" x14ac:dyDescent="0.2">
      <c r="A111" s="645" t="s">
        <v>309</v>
      </c>
      <c r="B111" s="431"/>
      <c r="C111" s="671">
        <v>0</v>
      </c>
      <c r="D111" s="17" t="s">
        <v>22</v>
      </c>
      <c r="E111" s="17"/>
      <c r="F111" s="9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</row>
    <row r="112" spans="1:54" ht="15" x14ac:dyDescent="0.25">
      <c r="A112" s="678"/>
      <c r="B112" s="9"/>
      <c r="C112" s="687">
        <v>0</v>
      </c>
      <c r="D112" s="17"/>
      <c r="E112" s="17"/>
      <c r="F112" s="418" t="s">
        <v>192</v>
      </c>
      <c r="G112" s="431">
        <v>4599786</v>
      </c>
      <c r="H112" s="432">
        <v>0</v>
      </c>
      <c r="I112" s="848">
        <v>662369184</v>
      </c>
      <c r="J112" s="848">
        <v>0</v>
      </c>
      <c r="K112" s="17"/>
      <c r="L112" s="17"/>
      <c r="M112" s="17"/>
      <c r="N112" s="17"/>
      <c r="O112" s="17"/>
      <c r="P112" s="17"/>
      <c r="Q112" s="17"/>
      <c r="R112" s="17"/>
      <c r="S112" s="17"/>
      <c r="T112" s="17"/>
    </row>
    <row r="113" spans="1:20" ht="15" x14ac:dyDescent="0.25">
      <c r="A113" s="672" t="s">
        <v>174</v>
      </c>
      <c r="B113" s="9"/>
      <c r="C113" s="691">
        <v>0</v>
      </c>
      <c r="D113" s="17" t="s">
        <v>175</v>
      </c>
      <c r="E113" s="17"/>
      <c r="F113" s="678"/>
      <c r="G113" s="9"/>
      <c r="H113" s="433">
        <v>0</v>
      </c>
      <c r="I113" s="848"/>
      <c r="J113" s="848">
        <v>0</v>
      </c>
      <c r="K113" s="17">
        <v>0</v>
      </c>
      <c r="L113" s="17"/>
      <c r="M113" s="17"/>
      <c r="N113" s="17"/>
      <c r="O113" s="17"/>
      <c r="P113" s="17"/>
      <c r="Q113" s="17"/>
      <c r="R113" s="17"/>
      <c r="S113" s="17"/>
      <c r="T113" s="17"/>
    </row>
    <row r="114" spans="1:20" ht="15" x14ac:dyDescent="0.25">
      <c r="A114" s="672" t="s">
        <v>176</v>
      </c>
      <c r="B114" s="9"/>
      <c r="C114" s="691">
        <v>0</v>
      </c>
      <c r="D114" s="9" t="s">
        <v>175</v>
      </c>
      <c r="E114" s="17"/>
      <c r="F114" s="672" t="s">
        <v>193</v>
      </c>
      <c r="G114" s="9">
        <v>1.397</v>
      </c>
      <c r="H114" s="452"/>
      <c r="I114" s="848"/>
      <c r="J114" s="848"/>
      <c r="K114" s="17"/>
      <c r="L114" s="17"/>
      <c r="M114" s="17"/>
      <c r="N114" s="17"/>
      <c r="O114" s="17"/>
      <c r="P114" s="17"/>
      <c r="Q114" s="17"/>
      <c r="R114" s="17"/>
      <c r="S114" s="17"/>
      <c r="T114" s="17"/>
    </row>
    <row r="115" spans="1:20" ht="15" x14ac:dyDescent="0.25">
      <c r="A115" s="672" t="s">
        <v>177</v>
      </c>
      <c r="B115" s="9"/>
      <c r="C115" s="691">
        <v>0</v>
      </c>
      <c r="D115" s="9"/>
      <c r="E115" s="54"/>
      <c r="F115" s="672" t="s">
        <v>194</v>
      </c>
      <c r="G115" s="9">
        <v>6.1280522599999996</v>
      </c>
      <c r="H115" s="452"/>
      <c r="I115" s="848"/>
      <c r="J115" s="848"/>
      <c r="K115" s="17"/>
      <c r="L115" s="17"/>
      <c r="M115" s="17"/>
      <c r="N115" s="17"/>
      <c r="O115" s="17"/>
      <c r="P115" s="17"/>
      <c r="Q115" s="17"/>
      <c r="R115" s="17"/>
      <c r="S115" s="17"/>
      <c r="T115" s="17"/>
    </row>
    <row r="116" spans="1:20" ht="15" x14ac:dyDescent="0.25">
      <c r="A116" s="692"/>
      <c r="B116" s="693"/>
      <c r="C116" s="694"/>
      <c r="D116" s="9"/>
      <c r="E116" s="17"/>
      <c r="F116" s="672" t="s">
        <v>195</v>
      </c>
      <c r="G116" s="9">
        <v>16.338717029661499</v>
      </c>
      <c r="H116" s="673">
        <v>6.4981525852600601</v>
      </c>
      <c r="I116" s="848"/>
      <c r="J116" s="848"/>
      <c r="K116" s="17"/>
      <c r="L116" s="17"/>
      <c r="M116" s="17"/>
      <c r="N116" s="17"/>
      <c r="O116" s="17"/>
      <c r="P116" s="17"/>
      <c r="Q116" s="17"/>
      <c r="R116" s="17"/>
      <c r="S116" s="17"/>
      <c r="T116" s="17"/>
    </row>
    <row r="117" spans="1:20" ht="15" x14ac:dyDescent="0.25">
      <c r="A117" s="692" t="s">
        <v>310</v>
      </c>
      <c r="B117" s="693"/>
      <c r="C117" s="694">
        <v>0</v>
      </c>
      <c r="D117" s="9" t="s">
        <v>237</v>
      </c>
      <c r="E117" s="17"/>
      <c r="F117" s="672" t="s">
        <v>196</v>
      </c>
      <c r="G117" s="9">
        <v>0</v>
      </c>
      <c r="H117" s="673"/>
      <c r="I117" s="848"/>
      <c r="J117" s="848"/>
      <c r="K117" s="17"/>
      <c r="L117" s="17"/>
      <c r="M117" s="17"/>
      <c r="N117" s="17"/>
      <c r="O117" s="17"/>
      <c r="P117" s="17"/>
      <c r="Q117" s="17"/>
      <c r="R117" s="17"/>
      <c r="S117" s="17"/>
      <c r="T117" s="17"/>
    </row>
    <row r="118" spans="1:20" ht="15" x14ac:dyDescent="0.25">
      <c r="A118" s="17"/>
      <c r="B118" s="17"/>
      <c r="C118" s="17"/>
      <c r="D118" s="17"/>
      <c r="E118" s="17"/>
      <c r="F118" s="417" t="s">
        <v>200</v>
      </c>
      <c r="G118" s="430">
        <v>0</v>
      </c>
      <c r="H118" s="677"/>
      <c r="I118" s="848">
        <v>0</v>
      </c>
      <c r="J118" s="848"/>
      <c r="K118" s="17"/>
      <c r="L118" s="17"/>
      <c r="M118" s="17"/>
      <c r="N118" s="17"/>
      <c r="O118" s="17"/>
      <c r="P118" s="17"/>
      <c r="Q118" s="17"/>
      <c r="R118" s="17"/>
      <c r="S118" s="17"/>
      <c r="T118" s="17"/>
    </row>
    <row r="119" spans="1:20" x14ac:dyDescent="0.2">
      <c r="A119" s="17"/>
      <c r="B119" s="17"/>
      <c r="C119" s="17"/>
      <c r="D119" s="17"/>
      <c r="E119" s="17"/>
      <c r="F119" s="562"/>
      <c r="G119" s="17">
        <v>0</v>
      </c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</row>
    <row r="120" spans="1:20" x14ac:dyDescent="0.2">
      <c r="A120" s="17"/>
      <c r="B120" s="17"/>
      <c r="C120" s="17"/>
      <c r="D120" s="17"/>
      <c r="E120" s="17"/>
      <c r="F120" s="562"/>
      <c r="G120" s="562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</row>
    <row r="121" spans="1:20" x14ac:dyDescent="0.2">
      <c r="A121" s="17"/>
      <c r="B121" s="17"/>
      <c r="C121" s="17"/>
      <c r="D121" s="17"/>
      <c r="E121" s="17"/>
      <c r="F121" s="9"/>
      <c r="G121" s="17"/>
      <c r="H121" s="679" t="s">
        <v>135</v>
      </c>
      <c r="I121" s="680">
        <v>60</v>
      </c>
      <c r="J121" s="9"/>
      <c r="K121" s="17"/>
      <c r="L121" s="9"/>
      <c r="M121" s="9"/>
      <c r="N121" s="9"/>
      <c r="O121" s="9"/>
      <c r="P121" s="9"/>
      <c r="Q121" s="17"/>
      <c r="R121" s="17"/>
      <c r="S121" s="17"/>
      <c r="T121" s="17"/>
    </row>
    <row r="122" spans="1:20" ht="15" x14ac:dyDescent="0.25">
      <c r="A122" s="17"/>
      <c r="B122" s="17"/>
      <c r="C122" s="17"/>
      <c r="D122" s="17"/>
      <c r="E122" s="17"/>
      <c r="F122" s="17"/>
      <c r="G122" s="17"/>
      <c r="H122" s="681" t="s">
        <v>136</v>
      </c>
      <c r="I122" s="681">
        <v>38</v>
      </c>
      <c r="J122" s="682">
        <v>343.54586691227399</v>
      </c>
      <c r="K122" s="17"/>
      <c r="L122" s="17"/>
      <c r="M122" s="17"/>
      <c r="N122" s="17"/>
      <c r="O122" s="9"/>
      <c r="P122" s="9"/>
      <c r="Q122" s="17"/>
      <c r="R122" s="17"/>
      <c r="S122" s="17"/>
      <c r="T122" s="17"/>
    </row>
    <row r="123" spans="1:20" x14ac:dyDescent="0.2">
      <c r="A123" s="17"/>
      <c r="B123" s="688" t="s">
        <v>161</v>
      </c>
      <c r="C123" s="689"/>
      <c r="D123" s="689"/>
      <c r="E123" s="690"/>
      <c r="F123" s="9"/>
      <c r="G123" s="17"/>
      <c r="H123" s="659" t="s">
        <v>311</v>
      </c>
      <c r="I123" s="684"/>
      <c r="J123" s="685">
        <v>322</v>
      </c>
      <c r="K123" s="17"/>
      <c r="L123" s="17"/>
      <c r="M123" s="17"/>
      <c r="N123" s="17"/>
      <c r="O123" s="9"/>
      <c r="P123" s="9"/>
      <c r="Q123" s="17"/>
      <c r="R123" s="17"/>
      <c r="S123" s="17"/>
      <c r="T123" s="17"/>
    </row>
    <row r="124" spans="1:20" x14ac:dyDescent="0.2">
      <c r="A124" s="17"/>
      <c r="B124" s="418" t="s">
        <v>95</v>
      </c>
      <c r="C124" s="431"/>
      <c r="D124" s="646">
        <v>0</v>
      </c>
      <c r="E124" s="686"/>
      <c r="F124" s="9"/>
      <c r="G124" s="17"/>
      <c r="H124" s="659" t="s">
        <v>312</v>
      </c>
      <c r="I124" s="684"/>
      <c r="J124" s="685">
        <v>7690.8</v>
      </c>
      <c r="K124" s="17"/>
      <c r="L124" s="17"/>
      <c r="M124" s="17"/>
      <c r="N124" s="17"/>
      <c r="O124" s="9"/>
      <c r="P124" s="9"/>
      <c r="Q124" s="17"/>
      <c r="R124" s="17"/>
      <c r="S124" s="17"/>
      <c r="T124" s="17"/>
    </row>
    <row r="125" spans="1:20" ht="15" x14ac:dyDescent="0.25">
      <c r="A125" s="17"/>
      <c r="B125" s="678" t="s">
        <v>97</v>
      </c>
      <c r="C125" s="17"/>
      <c r="D125" s="682">
        <v>180</v>
      </c>
      <c r="E125" s="452" t="s">
        <v>175</v>
      </c>
      <c r="F125" s="9"/>
      <c r="G125" s="17"/>
      <c r="H125" s="17"/>
      <c r="I125" s="17"/>
      <c r="J125" s="17"/>
      <c r="K125" s="17"/>
      <c r="L125" s="17"/>
      <c r="M125" s="17"/>
      <c r="N125" s="17"/>
      <c r="O125" s="9"/>
      <c r="P125" s="9"/>
      <c r="Q125" s="17"/>
      <c r="R125" s="17"/>
      <c r="S125" s="17"/>
      <c r="T125" s="17"/>
    </row>
    <row r="126" spans="1:20" ht="15" x14ac:dyDescent="0.25">
      <c r="A126" s="17"/>
      <c r="B126" s="678" t="s">
        <v>313</v>
      </c>
      <c r="C126" s="17"/>
      <c r="D126" s="102">
        <v>0.13</v>
      </c>
      <c r="E126" s="452"/>
      <c r="F126" s="9"/>
      <c r="G126" s="17"/>
      <c r="H126" s="17"/>
      <c r="I126" s="17"/>
      <c r="J126" s="17"/>
      <c r="K126" s="17"/>
      <c r="L126" s="17"/>
      <c r="M126" s="17"/>
      <c r="N126" s="17"/>
      <c r="O126" s="9"/>
      <c r="P126" s="9"/>
      <c r="Q126" s="17"/>
      <c r="R126" s="17"/>
      <c r="S126" s="17"/>
      <c r="T126" s="17"/>
    </row>
    <row r="127" spans="1:20" ht="15" x14ac:dyDescent="0.25">
      <c r="A127" s="17"/>
      <c r="B127" s="678" t="s">
        <v>162</v>
      </c>
      <c r="C127" s="17"/>
      <c r="D127" s="695">
        <v>49.821119495630803</v>
      </c>
      <c r="E127" s="17"/>
      <c r="F127" s="9"/>
      <c r="G127" s="17"/>
      <c r="H127" s="17"/>
      <c r="I127" s="17"/>
      <c r="J127" s="17"/>
      <c r="K127" s="17"/>
      <c r="L127" s="17"/>
      <c r="M127" s="17"/>
      <c r="N127" s="17"/>
      <c r="O127" s="9"/>
      <c r="P127" s="9"/>
      <c r="Q127" s="17"/>
      <c r="R127" s="17"/>
      <c r="S127" s="17"/>
      <c r="T127" s="17"/>
    </row>
    <row r="128" spans="1:20" x14ac:dyDescent="0.2">
      <c r="A128" s="17"/>
      <c r="B128" s="678" t="s">
        <v>314</v>
      </c>
      <c r="C128" s="17"/>
      <c r="D128" s="9">
        <v>6.4767455344320002</v>
      </c>
      <c r="E128" s="452"/>
      <c r="F128" s="9"/>
      <c r="G128" s="17"/>
      <c r="H128" s="17"/>
      <c r="I128" s="17"/>
      <c r="J128" s="17"/>
      <c r="K128" s="17"/>
      <c r="L128" s="17"/>
      <c r="M128" s="9" t="s">
        <v>315</v>
      </c>
      <c r="N128" s="9"/>
      <c r="O128" s="9"/>
      <c r="P128" s="9"/>
      <c r="Q128" s="9"/>
      <c r="R128" s="17"/>
      <c r="S128" s="17"/>
      <c r="T128" s="17"/>
    </row>
    <row r="129" spans="1:20" x14ac:dyDescent="0.2">
      <c r="A129" s="17"/>
      <c r="B129" s="678" t="s">
        <v>164</v>
      </c>
      <c r="C129" s="17"/>
      <c r="D129" s="9">
        <v>8.0155590698923795</v>
      </c>
      <c r="E129" s="452" t="s">
        <v>237</v>
      </c>
      <c r="F129" s="17"/>
      <c r="G129" s="9">
        <v>0.13</v>
      </c>
      <c r="H129" s="17"/>
      <c r="I129" s="17"/>
      <c r="J129" s="17"/>
      <c r="K129" s="17"/>
      <c r="L129" s="17"/>
      <c r="M129" s="659" t="s">
        <v>112</v>
      </c>
      <c r="N129" s="659" t="s">
        <v>113</v>
      </c>
      <c r="O129" s="659" t="s">
        <v>316</v>
      </c>
      <c r="P129" s="659" t="s">
        <v>114</v>
      </c>
      <c r="Q129" s="849" t="s">
        <v>317</v>
      </c>
      <c r="R129" s="17"/>
      <c r="S129" s="17"/>
      <c r="T129" s="17"/>
    </row>
    <row r="130" spans="1:20" x14ac:dyDescent="0.2">
      <c r="A130" s="17"/>
      <c r="B130" s="672" t="s">
        <v>318</v>
      </c>
      <c r="C130" s="17"/>
      <c r="D130" s="9">
        <v>3.59215281568</v>
      </c>
      <c r="E130" s="452" t="s">
        <v>319</v>
      </c>
      <c r="F130" s="17"/>
      <c r="G130" s="400">
        <v>180</v>
      </c>
      <c r="H130" s="17"/>
      <c r="I130" s="17"/>
      <c r="J130" s="17"/>
      <c r="K130" s="17"/>
      <c r="L130" s="17"/>
      <c r="M130" s="281">
        <v>1</v>
      </c>
      <c r="N130" s="679" t="s">
        <v>320</v>
      </c>
      <c r="O130" s="281">
        <v>10</v>
      </c>
      <c r="P130" s="281">
        <v>20.16</v>
      </c>
      <c r="Q130" s="659">
        <v>115.338461538462</v>
      </c>
      <c r="R130" s="17"/>
      <c r="S130" s="17"/>
      <c r="T130" s="17"/>
    </row>
    <row r="131" spans="1:20" x14ac:dyDescent="0.2">
      <c r="A131" s="17"/>
      <c r="B131" s="672" t="s">
        <v>108</v>
      </c>
      <c r="C131" s="9"/>
      <c r="D131" s="562">
        <v>1.1999999999999999E-3</v>
      </c>
      <c r="E131" s="673" t="s">
        <v>237</v>
      </c>
      <c r="F131" s="17"/>
      <c r="G131" s="17">
        <v>0.1776906</v>
      </c>
      <c r="H131" s="17"/>
      <c r="I131" s="17"/>
      <c r="J131" s="17"/>
      <c r="K131" s="17"/>
      <c r="L131" s="17"/>
      <c r="M131" s="281">
        <v>2</v>
      </c>
      <c r="N131" s="659" t="s">
        <v>321</v>
      </c>
      <c r="O131" s="281">
        <v>2</v>
      </c>
      <c r="P131" s="281">
        <v>17.64</v>
      </c>
      <c r="Q131" s="659">
        <v>20.184230769230801</v>
      </c>
      <c r="R131" s="9"/>
      <c r="S131" s="17"/>
      <c r="T131" s="17"/>
    </row>
    <row r="132" spans="1:20" ht="15" x14ac:dyDescent="0.25">
      <c r="A132" s="17"/>
      <c r="B132" s="697" t="s">
        <v>165</v>
      </c>
      <c r="C132" s="562"/>
      <c r="D132" s="698">
        <v>1.2057142911354199E-3</v>
      </c>
      <c r="E132" s="673" t="s">
        <v>237</v>
      </c>
      <c r="F132" s="17"/>
      <c r="G132" s="17">
        <v>6.6135636849874399E-4</v>
      </c>
      <c r="H132" s="17"/>
      <c r="I132" s="17"/>
      <c r="J132" s="17"/>
      <c r="K132" s="17"/>
      <c r="L132" s="17"/>
      <c r="M132" s="281">
        <v>3</v>
      </c>
      <c r="N132" s="679" t="s">
        <v>117</v>
      </c>
      <c r="O132" s="281">
        <v>150</v>
      </c>
      <c r="P132" s="281">
        <v>36.119999999999997</v>
      </c>
      <c r="Q132" s="659">
        <v>3099.7211538461502</v>
      </c>
      <c r="R132" s="17"/>
      <c r="S132" s="17"/>
      <c r="T132" s="17"/>
    </row>
    <row r="133" spans="1:20" ht="15" x14ac:dyDescent="0.25">
      <c r="A133" s="17"/>
      <c r="B133" s="672" t="s">
        <v>166</v>
      </c>
      <c r="C133" s="9"/>
      <c r="D133" s="683" t="s">
        <v>167</v>
      </c>
      <c r="E133" s="452"/>
      <c r="F133" s="17"/>
      <c r="G133" s="562">
        <v>2.6037652303100202E-4</v>
      </c>
      <c r="H133" s="17"/>
      <c r="I133" s="17"/>
      <c r="J133" s="17"/>
      <c r="K133" s="17"/>
      <c r="L133" s="17"/>
      <c r="M133" s="281">
        <v>4</v>
      </c>
      <c r="N133" s="679" t="s">
        <v>118</v>
      </c>
      <c r="O133" s="281">
        <v>35</v>
      </c>
      <c r="P133" s="281">
        <v>21.84</v>
      </c>
      <c r="Q133" s="659">
        <v>437.32499999999999</v>
      </c>
      <c r="R133" s="17"/>
      <c r="S133" s="17"/>
      <c r="T133" s="17"/>
    </row>
    <row r="134" spans="1:20" ht="15" x14ac:dyDescent="0.25">
      <c r="A134" s="17"/>
      <c r="B134" s="697" t="s">
        <v>322</v>
      </c>
      <c r="C134" s="562"/>
      <c r="D134" s="698">
        <v>1.1411913572008299E-2</v>
      </c>
      <c r="E134" s="673" t="s">
        <v>319</v>
      </c>
      <c r="F134" s="17"/>
      <c r="G134" s="17"/>
      <c r="H134" s="17"/>
      <c r="I134" s="17"/>
      <c r="J134" s="17"/>
      <c r="K134" s="17"/>
      <c r="L134" s="17"/>
      <c r="M134" s="281">
        <v>5</v>
      </c>
      <c r="N134" s="679" t="s">
        <v>120</v>
      </c>
      <c r="O134" s="281">
        <v>3</v>
      </c>
      <c r="P134" s="281">
        <v>13.44</v>
      </c>
      <c r="Q134" s="659">
        <v>23.067692307692301</v>
      </c>
      <c r="R134" s="17"/>
      <c r="S134" s="17"/>
      <c r="T134" s="17"/>
    </row>
    <row r="135" spans="1:20" x14ac:dyDescent="0.2">
      <c r="A135" s="17"/>
      <c r="B135" s="678" t="s">
        <v>323</v>
      </c>
      <c r="C135" s="17"/>
      <c r="D135" s="562">
        <v>0</v>
      </c>
      <c r="E135" s="452" t="s">
        <v>324</v>
      </c>
      <c r="F135" s="17"/>
      <c r="G135" s="54"/>
      <c r="H135" s="17"/>
      <c r="I135" s="17"/>
      <c r="J135" s="17"/>
      <c r="K135" s="17"/>
      <c r="L135" s="17"/>
      <c r="M135" s="281">
        <v>6</v>
      </c>
      <c r="N135" s="679" t="s">
        <v>122</v>
      </c>
      <c r="O135" s="281">
        <v>3</v>
      </c>
      <c r="P135" s="281">
        <v>13.44</v>
      </c>
      <c r="Q135" s="659">
        <v>23.067692307692301</v>
      </c>
      <c r="R135" s="17"/>
      <c r="S135" s="17"/>
      <c r="T135" s="17"/>
    </row>
    <row r="136" spans="1:20" ht="15" x14ac:dyDescent="0.25">
      <c r="A136" s="17"/>
      <c r="B136" s="699" t="s">
        <v>325</v>
      </c>
      <c r="C136" s="430"/>
      <c r="D136" s="700">
        <v>16.493173531501501</v>
      </c>
      <c r="E136" s="677" t="s">
        <v>326</v>
      </c>
      <c r="F136" s="9"/>
      <c r="G136" s="17"/>
      <c r="H136" s="17"/>
      <c r="I136" s="17"/>
      <c r="J136" s="17"/>
      <c r="K136" s="17"/>
      <c r="L136" s="17"/>
      <c r="M136" s="281">
        <v>7</v>
      </c>
      <c r="N136" s="679" t="s">
        <v>327</v>
      </c>
      <c r="O136" s="281">
        <v>4</v>
      </c>
      <c r="P136" s="281">
        <v>11.76</v>
      </c>
      <c r="Q136" s="659">
        <v>26.912307692307699</v>
      </c>
      <c r="R136" s="17"/>
      <c r="S136" s="17"/>
      <c r="T136" s="17"/>
    </row>
    <row r="137" spans="1:20" ht="15" x14ac:dyDescent="0.25">
      <c r="A137" s="17"/>
      <c r="B137" s="17"/>
      <c r="C137" s="17"/>
      <c r="D137" s="17"/>
      <c r="E137" s="17"/>
      <c r="F137" s="17"/>
      <c r="G137" s="9"/>
      <c r="H137" s="9"/>
      <c r="I137" s="683"/>
      <c r="J137" s="17"/>
      <c r="K137" s="17"/>
      <c r="L137" s="17"/>
      <c r="M137" s="281">
        <v>8</v>
      </c>
      <c r="N137" s="679" t="s">
        <v>328</v>
      </c>
      <c r="O137" s="281">
        <v>1</v>
      </c>
      <c r="P137" s="281">
        <v>11.76</v>
      </c>
      <c r="Q137" s="659">
        <v>6.7280769230769204</v>
      </c>
      <c r="R137" s="17"/>
      <c r="S137" s="17"/>
      <c r="T137" s="17"/>
    </row>
    <row r="138" spans="1:20" ht="15" x14ac:dyDescent="0.25">
      <c r="A138" s="17"/>
      <c r="B138" s="17"/>
      <c r="C138" s="17"/>
      <c r="D138" s="17"/>
      <c r="E138" s="17"/>
      <c r="F138" s="17"/>
      <c r="G138" s="562"/>
      <c r="H138" s="562"/>
      <c r="I138" s="698"/>
      <c r="J138" s="9"/>
      <c r="K138" s="17"/>
      <c r="L138" s="17"/>
      <c r="M138" s="9"/>
      <c r="N138" s="9"/>
      <c r="O138" s="9">
        <v>208</v>
      </c>
      <c r="P138" s="9"/>
      <c r="Q138" s="9">
        <v>3752.3446153846198</v>
      </c>
      <c r="R138" s="17"/>
      <c r="S138" s="17"/>
      <c r="T138" s="17"/>
    </row>
    <row r="139" spans="1:20" x14ac:dyDescent="0.2">
      <c r="A139" s="17"/>
      <c r="B139" s="9"/>
      <c r="C139" s="17"/>
      <c r="D139" s="17"/>
      <c r="E139" s="17"/>
      <c r="F139" s="17"/>
      <c r="G139" s="17"/>
      <c r="H139" s="17"/>
      <c r="I139" s="562"/>
      <c r="J139" s="17"/>
      <c r="K139" s="17"/>
      <c r="L139" s="17"/>
      <c r="M139" s="17"/>
      <c r="N139" s="17"/>
      <c r="O139" s="9"/>
      <c r="P139" s="9"/>
      <c r="Q139" s="17"/>
      <c r="R139" s="17"/>
      <c r="S139" s="17"/>
      <c r="T139" s="17"/>
    </row>
    <row r="140" spans="1:20" ht="15" x14ac:dyDescent="0.25">
      <c r="A140" s="17"/>
      <c r="B140" s="850"/>
      <c r="C140" s="17"/>
      <c r="D140" s="17"/>
      <c r="E140" s="17"/>
      <c r="F140" s="17"/>
      <c r="G140" s="562"/>
      <c r="H140" s="562"/>
      <c r="I140" s="698"/>
      <c r="J140" s="9"/>
      <c r="K140" s="17"/>
      <c r="L140" s="17"/>
      <c r="M140" s="17"/>
      <c r="N140" s="17"/>
      <c r="O140" s="9"/>
      <c r="P140" s="9"/>
      <c r="Q140" s="17"/>
      <c r="R140" s="17"/>
      <c r="S140" s="17"/>
      <c r="T140" s="17"/>
    </row>
    <row r="141" spans="1:20" x14ac:dyDescent="0.2">
      <c r="A141" s="17"/>
      <c r="B141" s="851"/>
      <c r="C141" s="120" t="s">
        <v>125</v>
      </c>
      <c r="D141" s="117"/>
      <c r="E141" s="17">
        <v>0</v>
      </c>
      <c r="F141" s="17"/>
      <c r="G141" s="120" t="s">
        <v>39</v>
      </c>
      <c r="H141" s="17">
        <v>0</v>
      </c>
      <c r="I141" s="17"/>
      <c r="J141" s="17"/>
      <c r="K141" s="17"/>
      <c r="L141" s="17"/>
      <c r="M141" s="17"/>
      <c r="N141" s="17"/>
      <c r="O141" s="9"/>
      <c r="P141" s="9"/>
      <c r="Q141" s="17"/>
      <c r="R141" s="17"/>
      <c r="S141" s="17"/>
      <c r="T141" s="17"/>
    </row>
    <row r="142" spans="1:20" x14ac:dyDescent="0.2">
      <c r="A142" s="17"/>
      <c r="B142" s="17"/>
      <c r="C142" s="17"/>
      <c r="D142" s="17"/>
      <c r="E142" s="17"/>
      <c r="F142" s="17"/>
      <c r="G142" s="120" t="s">
        <v>43</v>
      </c>
      <c r="H142" s="17">
        <v>1050.7249783791799</v>
      </c>
      <c r="I142" s="17"/>
      <c r="J142" s="17"/>
      <c r="K142" s="17"/>
      <c r="L142" s="17"/>
      <c r="M142" s="17"/>
      <c r="N142" s="17"/>
      <c r="O142" s="9"/>
      <c r="P142" s="9"/>
      <c r="Q142" s="17"/>
      <c r="R142" s="17"/>
      <c r="S142" s="17"/>
      <c r="T142" s="17"/>
    </row>
    <row r="143" spans="1:20" x14ac:dyDescent="0.2">
      <c r="A143" s="17"/>
      <c r="B143" s="17"/>
      <c r="C143" s="17"/>
      <c r="D143" s="17"/>
      <c r="E143" s="17"/>
      <c r="F143" s="17"/>
      <c r="G143" s="120" t="s">
        <v>371</v>
      </c>
      <c r="H143" s="17">
        <v>905.17120724191795</v>
      </c>
      <c r="I143" s="17"/>
      <c r="J143" s="17"/>
      <c r="K143" s="17"/>
      <c r="L143" s="17"/>
      <c r="M143" s="17"/>
      <c r="N143" s="17"/>
      <c r="O143" s="9"/>
      <c r="P143" s="9"/>
      <c r="Q143" s="17"/>
      <c r="R143" s="17"/>
      <c r="S143" s="17"/>
      <c r="T143" s="17"/>
    </row>
    <row r="144" spans="1:20" x14ac:dyDescent="0.2">
      <c r="A144" s="17"/>
      <c r="B144" s="17"/>
      <c r="C144" s="17"/>
      <c r="D144" s="17"/>
      <c r="E144" s="17"/>
      <c r="F144" s="17"/>
      <c r="G144" s="145" t="s">
        <v>51</v>
      </c>
      <c r="H144" s="17">
        <v>1925.8961856210999</v>
      </c>
      <c r="I144" s="17"/>
      <c r="J144" s="17"/>
      <c r="K144" s="17"/>
      <c r="L144" s="17"/>
      <c r="M144" s="17"/>
      <c r="N144" s="17"/>
      <c r="O144" s="9"/>
      <c r="P144" s="9"/>
      <c r="Q144" s="17"/>
      <c r="R144" s="17"/>
      <c r="S144" s="17"/>
      <c r="T144" s="17"/>
    </row>
    <row r="145" spans="1:20" x14ac:dyDescent="0.2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9"/>
      <c r="P145" s="9"/>
      <c r="Q145" s="17"/>
      <c r="R145" s="17"/>
      <c r="S145" s="17"/>
      <c r="T145" s="17"/>
    </row>
    <row r="146" spans="1:20" x14ac:dyDescent="0.2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9"/>
      <c r="P146" s="9"/>
      <c r="Q146" s="17"/>
      <c r="R146" s="17"/>
      <c r="S146" s="17"/>
      <c r="T146" s="17"/>
    </row>
    <row r="147" spans="1:20" x14ac:dyDescent="0.2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9"/>
      <c r="P147" s="9"/>
      <c r="Q147" s="17"/>
      <c r="R147" s="17"/>
      <c r="S147" s="17"/>
      <c r="T147" s="17"/>
    </row>
    <row r="148" spans="1:20" x14ac:dyDescent="0.2">
      <c r="A148" s="17"/>
      <c r="B148" s="54">
        <v>2</v>
      </c>
      <c r="C148" s="17">
        <v>120</v>
      </c>
      <c r="D148" s="17">
        <v>15.133961200252299</v>
      </c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9"/>
      <c r="P148" s="9"/>
      <c r="Q148" s="17"/>
      <c r="R148" s="17"/>
      <c r="S148" s="17"/>
      <c r="T148" s="17"/>
    </row>
    <row r="149" spans="1:20" x14ac:dyDescent="0.2">
      <c r="A149" s="17"/>
      <c r="B149" s="54">
        <v>5</v>
      </c>
      <c r="C149" s="17">
        <v>300</v>
      </c>
      <c r="D149" s="17">
        <v>23.645125375579099</v>
      </c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9"/>
      <c r="P149" s="9"/>
      <c r="Q149" s="17"/>
      <c r="R149" s="17"/>
      <c r="S149" s="17"/>
      <c r="T149" s="17"/>
    </row>
    <row r="150" spans="1:20" x14ac:dyDescent="0.2">
      <c r="A150" s="17"/>
      <c r="B150" s="54">
        <v>10</v>
      </c>
      <c r="C150" s="17">
        <v>600</v>
      </c>
      <c r="D150" s="17">
        <v>33.304412741462897</v>
      </c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9"/>
      <c r="P150" s="9"/>
      <c r="Q150" s="17"/>
      <c r="R150" s="17"/>
      <c r="S150" s="17"/>
      <c r="T150" s="17"/>
    </row>
    <row r="151" spans="1:20" x14ac:dyDescent="0.2">
      <c r="A151" s="17"/>
      <c r="B151" s="54">
        <v>15</v>
      </c>
      <c r="C151" s="17">
        <v>900</v>
      </c>
      <c r="D151" s="17">
        <v>40.7342099724614</v>
      </c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</row>
    <row r="152" spans="1:20" x14ac:dyDescent="0.2">
      <c r="A152" s="17"/>
      <c r="B152" s="54">
        <v>20</v>
      </c>
      <c r="C152" s="17">
        <v>1200</v>
      </c>
      <c r="D152" s="17">
        <v>47.003912774442803</v>
      </c>
      <c r="E152" s="17"/>
      <c r="F152" s="17"/>
      <c r="G152" s="17"/>
      <c r="H152" s="17"/>
      <c r="I152" s="17"/>
      <c r="J152" s="17"/>
      <c r="K152" s="17"/>
      <c r="L152" s="17"/>
      <c r="M152" s="17"/>
      <c r="N152" s="17" t="s">
        <v>372</v>
      </c>
      <c r="O152" s="17"/>
      <c r="P152" s="17"/>
      <c r="Q152" s="17"/>
      <c r="R152" s="17"/>
      <c r="S152" s="17"/>
      <c r="T152" s="17"/>
    </row>
    <row r="153" spans="1:20" ht="15.75" x14ac:dyDescent="0.25">
      <c r="A153" s="17"/>
      <c r="B153" s="54">
        <v>25</v>
      </c>
      <c r="C153" s="17">
        <v>1500</v>
      </c>
      <c r="D153" s="17">
        <v>52.5305603447582</v>
      </c>
      <c r="E153" s="17"/>
      <c r="F153" s="17"/>
      <c r="G153" s="17"/>
      <c r="H153" s="17"/>
      <c r="I153" s="17"/>
      <c r="J153" s="17"/>
      <c r="K153" s="17"/>
      <c r="L153" s="17"/>
      <c r="M153" s="17"/>
      <c r="N153" s="852" t="s">
        <v>66</v>
      </c>
      <c r="O153" s="686">
        <v>27.075967678820099</v>
      </c>
      <c r="P153" s="17" t="s">
        <v>67</v>
      </c>
      <c r="Q153" s="17"/>
      <c r="R153" s="17"/>
      <c r="S153" s="17"/>
      <c r="T153" s="17"/>
    </row>
    <row r="154" spans="1:20" ht="15.75" x14ac:dyDescent="0.25">
      <c r="A154" s="17"/>
      <c r="B154" s="54">
        <v>30</v>
      </c>
      <c r="C154" s="17">
        <v>1800</v>
      </c>
      <c r="D154" s="17">
        <v>57.528703480620301</v>
      </c>
      <c r="E154" s="17"/>
      <c r="F154" s="17"/>
      <c r="G154" s="17"/>
      <c r="H154" s="17"/>
      <c r="I154" s="17"/>
      <c r="J154" s="17"/>
      <c r="K154" s="17"/>
      <c r="L154" s="17"/>
      <c r="M154" s="17"/>
      <c r="N154" s="853" t="s">
        <v>69</v>
      </c>
      <c r="O154" s="452">
        <v>0.14615078969192799</v>
      </c>
      <c r="P154" s="17" t="s">
        <v>46</v>
      </c>
      <c r="Q154" s="17"/>
      <c r="R154" s="17"/>
      <c r="S154" s="17"/>
      <c r="T154" s="17"/>
    </row>
    <row r="155" spans="1:20" ht="15.75" x14ac:dyDescent="0.25">
      <c r="A155" s="17"/>
      <c r="B155" s="407">
        <v>40</v>
      </c>
      <c r="C155" s="17">
        <v>2400</v>
      </c>
      <c r="D155" s="17">
        <v>66.405840347177701</v>
      </c>
      <c r="E155" s="17"/>
      <c r="F155" s="17"/>
      <c r="G155" s="17"/>
      <c r="H155" s="17"/>
      <c r="I155" s="17"/>
      <c r="J155" s="17"/>
      <c r="K155" s="17"/>
      <c r="L155" s="17"/>
      <c r="M155" s="17"/>
      <c r="N155" s="854" t="s">
        <v>72</v>
      </c>
      <c r="O155" s="469">
        <v>1769.9175946278599</v>
      </c>
      <c r="P155" s="17" t="s">
        <v>73</v>
      </c>
      <c r="Q155" s="17"/>
      <c r="R155" s="17"/>
      <c r="S155" s="17"/>
      <c r="T155" s="17"/>
    </row>
    <row r="156" spans="1:20" x14ac:dyDescent="0.2">
      <c r="A156" s="17"/>
      <c r="B156" s="17">
        <v>50</v>
      </c>
      <c r="C156" s="17">
        <v>3000</v>
      </c>
      <c r="D156" s="17">
        <v>74.228832270678794</v>
      </c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</row>
    <row r="157" spans="1:20" x14ac:dyDescent="0.2">
      <c r="A157" s="17"/>
      <c r="B157" s="17">
        <v>60</v>
      </c>
      <c r="C157" s="17">
        <v>3600</v>
      </c>
      <c r="D157" s="17">
        <v>81.302542692847396</v>
      </c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</row>
    <row r="158" spans="1:20" x14ac:dyDescent="0.2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</row>
    <row r="159" spans="1:20" x14ac:dyDescent="0.2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</row>
    <row r="160" spans="1:20" x14ac:dyDescent="0.2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</row>
    <row r="161" spans="1:20" x14ac:dyDescent="0.2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</row>
    <row r="162" spans="1:20" x14ac:dyDescent="0.2">
      <c r="A162" s="17"/>
      <c r="B162" s="17"/>
      <c r="C162" s="17"/>
      <c r="D162" s="17"/>
      <c r="E162" s="17"/>
      <c r="F162" s="17"/>
      <c r="G162" s="9"/>
      <c r="H162" s="9"/>
      <c r="I162" s="17"/>
      <c r="J162" s="17"/>
      <c r="K162" s="17"/>
      <c r="L162" s="17"/>
      <c r="M162" s="17"/>
      <c r="N162" s="17"/>
      <c r="O162" s="9"/>
      <c r="P162" s="9"/>
      <c r="Q162" s="17"/>
      <c r="R162" s="17"/>
      <c r="S162" s="17"/>
      <c r="T162" s="17"/>
    </row>
    <row r="163" spans="1:20" x14ac:dyDescent="0.2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299" t="s">
        <v>146</v>
      </c>
      <c r="O163" s="9">
        <v>0.26375224851078</v>
      </c>
      <c r="P163" s="9"/>
      <c r="Q163" s="17"/>
      <c r="R163" s="17"/>
      <c r="S163" s="17"/>
      <c r="T163" s="17"/>
    </row>
    <row r="164" spans="1:20" x14ac:dyDescent="0.2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299" t="s">
        <v>151</v>
      </c>
      <c r="O164" s="9">
        <v>454.56060259683397</v>
      </c>
      <c r="P164" s="9"/>
      <c r="Q164" s="17"/>
      <c r="R164" s="17"/>
      <c r="S164" s="17"/>
      <c r="T164" s="17"/>
    </row>
    <row r="165" spans="1:20" x14ac:dyDescent="0.2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299" t="s">
        <v>152</v>
      </c>
      <c r="O165" s="9">
        <v>0</v>
      </c>
      <c r="P165" s="9"/>
      <c r="Q165" s="17"/>
      <c r="R165" s="17"/>
      <c r="S165" s="17"/>
      <c r="T165" s="17"/>
    </row>
    <row r="166" spans="1:20" x14ac:dyDescent="0.2">
      <c r="A166" s="17"/>
      <c r="B166" s="17"/>
      <c r="C166" s="17"/>
      <c r="D166" s="17"/>
      <c r="E166" s="17"/>
      <c r="F166" s="9"/>
      <c r="G166" s="17"/>
      <c r="H166" s="17"/>
      <c r="I166" s="17"/>
      <c r="J166" s="17"/>
      <c r="K166" s="17"/>
      <c r="L166" s="17"/>
      <c r="M166" s="17"/>
      <c r="N166" s="9"/>
      <c r="O166" s="9"/>
      <c r="P166" s="9"/>
      <c r="Q166" s="17"/>
      <c r="R166" s="17"/>
      <c r="S166" s="17"/>
      <c r="T166" s="17"/>
    </row>
    <row r="167" spans="1:20" x14ac:dyDescent="0.2">
      <c r="A167" s="17"/>
      <c r="B167" s="17"/>
      <c r="C167" s="17"/>
      <c r="D167" s="17"/>
      <c r="E167" s="17"/>
      <c r="F167" s="9"/>
      <c r="G167" s="17"/>
      <c r="H167" s="17"/>
      <c r="I167" s="17"/>
      <c r="J167" s="17"/>
      <c r="K167" s="17"/>
      <c r="L167" s="17"/>
      <c r="M167" s="17"/>
      <c r="N167" s="17"/>
      <c r="O167" s="9"/>
      <c r="P167" s="9"/>
      <c r="Q167" s="17"/>
      <c r="R167" s="17"/>
      <c r="S167" s="17"/>
      <c r="T167" s="17"/>
    </row>
    <row r="168" spans="1:20" x14ac:dyDescent="0.2">
      <c r="A168" s="17"/>
      <c r="B168" s="17"/>
      <c r="C168" s="17"/>
      <c r="D168" s="17"/>
      <c r="E168" s="17"/>
      <c r="F168" s="9"/>
      <c r="G168" s="9"/>
      <c r="H168" s="9"/>
      <c r="I168" s="9"/>
      <c r="J168" s="17"/>
      <c r="K168" s="17"/>
      <c r="L168" s="17"/>
      <c r="M168" s="17"/>
      <c r="N168" s="17"/>
      <c r="O168" s="9"/>
      <c r="P168" s="9"/>
      <c r="Q168" s="17"/>
      <c r="R168" s="17"/>
      <c r="S168" s="17"/>
      <c r="T168" s="17"/>
    </row>
    <row r="169" spans="1:20" x14ac:dyDescent="0.2">
      <c r="A169" s="17"/>
      <c r="B169" s="17"/>
      <c r="C169" s="17"/>
      <c r="D169" s="17"/>
      <c r="E169" s="17"/>
      <c r="F169" s="9"/>
      <c r="G169" s="17"/>
      <c r="H169" s="17"/>
      <c r="I169" s="17"/>
      <c r="J169" s="17"/>
      <c r="K169" s="17"/>
      <c r="L169" s="17"/>
      <c r="M169" s="17"/>
      <c r="N169" s="17"/>
      <c r="O169" s="9"/>
      <c r="P169" s="9"/>
      <c r="Q169" s="17"/>
      <c r="R169" s="17"/>
      <c r="S169" s="17"/>
      <c r="T169" s="17"/>
    </row>
    <row r="170" spans="1:20" x14ac:dyDescent="0.2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9"/>
      <c r="P170" s="9"/>
      <c r="Q170" s="17"/>
      <c r="R170" s="17"/>
      <c r="S170" s="17"/>
      <c r="T170" s="17"/>
    </row>
    <row r="171" spans="1:20" x14ac:dyDescent="0.2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9"/>
      <c r="P171" s="9"/>
      <c r="Q171" s="17"/>
      <c r="R171" s="17"/>
      <c r="S171" s="17"/>
      <c r="T171" s="17"/>
    </row>
    <row r="172" spans="1:20" x14ac:dyDescent="0.2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9"/>
      <c r="P172" s="9"/>
      <c r="Q172" s="17"/>
      <c r="R172" s="17"/>
      <c r="S172" s="17"/>
      <c r="T172" s="17"/>
    </row>
    <row r="173" spans="1:20" x14ac:dyDescent="0.2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9"/>
      <c r="P173" s="9"/>
      <c r="Q173" s="17"/>
      <c r="R173" s="17"/>
      <c r="S173" s="17"/>
      <c r="T173" s="17"/>
    </row>
    <row r="174" spans="1:20" x14ac:dyDescent="0.2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9"/>
      <c r="P174" s="9"/>
      <c r="Q174" s="17"/>
      <c r="R174" s="17"/>
      <c r="S174" s="17"/>
      <c r="T174" s="17"/>
    </row>
    <row r="175" spans="1:20" x14ac:dyDescent="0.2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9"/>
      <c r="P175" s="9"/>
      <c r="Q175" s="17"/>
      <c r="R175" s="17"/>
      <c r="S175" s="17"/>
      <c r="T175" s="17"/>
    </row>
    <row r="176" spans="1:20" x14ac:dyDescent="0.2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9"/>
      <c r="P176" s="9"/>
      <c r="Q176" s="17"/>
      <c r="R176" s="17"/>
      <c r="S176" s="17"/>
      <c r="T176" s="17"/>
    </row>
    <row r="177" spans="1:20" x14ac:dyDescent="0.2">
      <c r="A177" s="17"/>
      <c r="B177" s="17"/>
      <c r="C177" s="17"/>
      <c r="D177" s="17"/>
      <c r="E177" s="17"/>
      <c r="F177" s="9"/>
      <c r="G177" s="17"/>
      <c r="H177" s="17"/>
      <c r="I177" s="17"/>
      <c r="J177" s="17"/>
      <c r="K177" s="17"/>
      <c r="L177" s="17"/>
      <c r="M177" s="17"/>
      <c r="N177" s="17"/>
      <c r="O177" s="9"/>
      <c r="P177" s="9"/>
      <c r="Q177" s="17"/>
      <c r="R177" s="17"/>
      <c r="S177" s="17"/>
      <c r="T177" s="17"/>
    </row>
    <row r="178" spans="1:20" x14ac:dyDescent="0.2">
      <c r="A178" s="17"/>
      <c r="B178" s="17"/>
      <c r="C178" s="17"/>
      <c r="D178" s="17"/>
      <c r="E178" s="9"/>
      <c r="F178" s="17"/>
      <c r="G178" s="17"/>
      <c r="H178" s="17"/>
      <c r="I178" s="17"/>
      <c r="J178" s="17"/>
      <c r="K178" s="17"/>
      <c r="L178" s="17"/>
      <c r="M178" s="17"/>
      <c r="N178" s="17"/>
      <c r="O178" s="9"/>
      <c r="P178" s="9"/>
      <c r="Q178" s="17"/>
      <c r="R178" s="17"/>
      <c r="S178" s="17"/>
      <c r="T178" s="17"/>
    </row>
    <row r="179" spans="1:20" x14ac:dyDescent="0.2">
      <c r="A179" s="17"/>
      <c r="B179" s="17"/>
      <c r="C179" s="17"/>
      <c r="D179" s="17"/>
      <c r="E179" s="17"/>
      <c r="F179" s="9"/>
      <c r="G179" s="17"/>
      <c r="H179" s="17"/>
      <c r="I179" s="17"/>
      <c r="J179" s="17"/>
      <c r="K179" s="17"/>
      <c r="L179" s="17"/>
      <c r="M179" s="9" t="s">
        <v>341</v>
      </c>
      <c r="N179" s="9" t="s">
        <v>240</v>
      </c>
      <c r="O179" s="9">
        <v>0</v>
      </c>
      <c r="P179" s="9" t="s">
        <v>237</v>
      </c>
      <c r="Q179" s="17"/>
      <c r="R179" s="17"/>
      <c r="S179" s="17"/>
      <c r="T179" s="17"/>
    </row>
    <row r="180" spans="1:20" x14ac:dyDescent="0.2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9">
        <v>0</v>
      </c>
      <c r="N180" s="9" t="s">
        <v>342</v>
      </c>
      <c r="O180" s="9">
        <v>0</v>
      </c>
      <c r="P180" s="17" t="s">
        <v>237</v>
      </c>
      <c r="Q180" s="17"/>
      <c r="R180" s="17"/>
      <c r="S180" s="17"/>
      <c r="T180" s="17"/>
    </row>
    <row r="181" spans="1:20" x14ac:dyDescent="0.2">
      <c r="A181" s="17"/>
      <c r="B181" s="17"/>
      <c r="C181" s="17"/>
      <c r="D181" s="17"/>
      <c r="E181" s="17"/>
      <c r="F181" s="9"/>
      <c r="G181" s="17"/>
      <c r="H181" s="17"/>
      <c r="I181" s="17"/>
      <c r="J181" s="17"/>
      <c r="K181" s="17"/>
      <c r="L181" s="17"/>
      <c r="M181" s="17"/>
      <c r="N181" s="9"/>
      <c r="O181" s="9"/>
      <c r="P181" s="9"/>
      <c r="Q181" s="17"/>
      <c r="R181" s="17"/>
      <c r="S181" s="17"/>
      <c r="T181" s="17"/>
    </row>
    <row r="182" spans="1:20" x14ac:dyDescent="0.2">
      <c r="A182" s="17"/>
      <c r="B182" s="17"/>
      <c r="C182" s="17"/>
      <c r="D182" s="17"/>
      <c r="E182" s="17"/>
      <c r="F182" s="9"/>
      <c r="G182" s="17"/>
      <c r="H182" s="17"/>
      <c r="I182" s="17"/>
      <c r="J182" s="17"/>
      <c r="K182" s="17"/>
      <c r="L182" s="17"/>
      <c r="M182" s="17"/>
      <c r="N182" s="9"/>
      <c r="O182" s="9"/>
      <c r="P182" s="9"/>
      <c r="Q182" s="17"/>
      <c r="R182" s="17"/>
      <c r="S182" s="17"/>
      <c r="T182" s="17"/>
    </row>
    <row r="183" spans="1:20" x14ac:dyDescent="0.2">
      <c r="A183" s="17"/>
      <c r="B183" s="17"/>
      <c r="C183" s="17"/>
      <c r="D183" s="17"/>
      <c r="E183" s="17"/>
      <c r="F183" s="9"/>
      <c r="G183" s="17"/>
      <c r="H183" s="17"/>
      <c r="I183" s="17"/>
      <c r="J183" s="17"/>
      <c r="K183" s="17"/>
      <c r="L183" s="17"/>
      <c r="M183" s="17"/>
      <c r="N183" s="9"/>
      <c r="O183" s="9"/>
      <c r="P183" s="9"/>
      <c r="Q183" s="17"/>
      <c r="R183" s="17"/>
      <c r="S183" s="17"/>
      <c r="T183" s="17"/>
    </row>
    <row r="184" spans="1:20" x14ac:dyDescent="0.2">
      <c r="A184" s="17"/>
      <c r="B184" s="17"/>
      <c r="C184" s="17"/>
      <c r="D184" s="17"/>
      <c r="E184" s="17"/>
      <c r="F184" s="9"/>
      <c r="G184" s="17"/>
      <c r="H184" s="17"/>
      <c r="I184" s="17"/>
      <c r="J184" s="17"/>
      <c r="K184" s="17"/>
      <c r="L184" s="17"/>
      <c r="M184" s="17"/>
      <c r="N184" s="9"/>
      <c r="O184" s="9"/>
      <c r="P184" s="9"/>
      <c r="Q184" s="17"/>
      <c r="R184" s="17"/>
      <c r="S184" s="17"/>
      <c r="T184" s="17"/>
    </row>
    <row r="185" spans="1:20" x14ac:dyDescent="0.2">
      <c r="A185" s="17"/>
      <c r="B185" s="17"/>
      <c r="C185" s="17"/>
      <c r="D185" s="17"/>
      <c r="E185" s="17"/>
      <c r="F185" s="9"/>
      <c r="G185" s="17"/>
      <c r="H185" s="17"/>
      <c r="I185" s="17"/>
      <c r="J185" s="17"/>
      <c r="K185" s="17"/>
      <c r="L185" s="17"/>
      <c r="M185" s="17"/>
      <c r="N185" s="9"/>
      <c r="O185" s="9"/>
      <c r="P185" s="9"/>
      <c r="Q185" s="17"/>
      <c r="R185" s="17"/>
      <c r="S185" s="17"/>
      <c r="T185" s="17"/>
    </row>
    <row r="186" spans="1:20" x14ac:dyDescent="0.2">
      <c r="A186" s="17"/>
      <c r="B186" s="17"/>
      <c r="C186" s="17"/>
      <c r="D186" s="17"/>
      <c r="E186" s="17"/>
      <c r="F186" s="9"/>
      <c r="G186" s="17"/>
      <c r="H186" s="17"/>
      <c r="I186" s="17"/>
      <c r="J186" s="17"/>
      <c r="K186" s="17"/>
      <c r="L186" s="17"/>
      <c r="M186" s="17"/>
      <c r="N186" s="9"/>
      <c r="O186" s="9"/>
      <c r="P186" s="9"/>
      <c r="Q186" s="17"/>
      <c r="R186" s="17"/>
      <c r="S186" s="17"/>
      <c r="T186" s="17"/>
    </row>
    <row r="187" spans="1:20" x14ac:dyDescent="0.2">
      <c r="A187" s="17"/>
      <c r="B187" s="17"/>
      <c r="C187" s="17"/>
      <c r="D187" s="17"/>
      <c r="E187" s="17"/>
      <c r="F187" s="9"/>
      <c r="G187" s="17"/>
      <c r="H187" s="17"/>
      <c r="I187" s="17"/>
      <c r="J187" s="17"/>
      <c r="K187" s="17"/>
      <c r="L187" s="17"/>
      <c r="M187" s="17"/>
      <c r="N187" s="17"/>
      <c r="O187" s="9"/>
      <c r="P187" s="9"/>
      <c r="Q187" s="17"/>
      <c r="R187" s="17"/>
      <c r="S187" s="17"/>
      <c r="T187" s="17"/>
    </row>
    <row r="188" spans="1:20" x14ac:dyDescent="0.2">
      <c r="A188" s="17"/>
      <c r="B188" s="17"/>
      <c r="C188" s="17"/>
      <c r="D188" s="17"/>
      <c r="E188" s="17"/>
      <c r="F188" s="9"/>
      <c r="G188" s="17"/>
      <c r="H188" s="17"/>
      <c r="I188" s="17"/>
      <c r="J188" s="17"/>
      <c r="K188" s="17"/>
      <c r="L188" s="17"/>
      <c r="M188" s="17"/>
      <c r="N188" s="17"/>
      <c r="O188" s="9"/>
      <c r="P188" s="9"/>
      <c r="Q188" s="17"/>
      <c r="R188" s="17"/>
      <c r="S188" s="17"/>
      <c r="T188" s="17"/>
    </row>
    <row r="189" spans="1:20" x14ac:dyDescent="0.2">
      <c r="A189" s="17">
        <v>0</v>
      </c>
      <c r="B189" s="17"/>
      <c r="C189" s="17"/>
      <c r="D189" s="17"/>
      <c r="E189" s="17"/>
      <c r="F189" s="9"/>
      <c r="G189" s="17"/>
      <c r="H189" s="17"/>
      <c r="I189" s="17"/>
      <c r="J189" s="17"/>
      <c r="K189" s="17"/>
      <c r="L189" s="17"/>
      <c r="M189" s="17"/>
      <c r="N189" s="17"/>
      <c r="O189" s="9"/>
      <c r="P189" s="9"/>
      <c r="Q189" s="17"/>
      <c r="R189" s="17"/>
      <c r="S189" s="17"/>
      <c r="T189" s="17"/>
    </row>
    <row r="190" spans="1:20" x14ac:dyDescent="0.2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9"/>
      <c r="P190" s="9"/>
      <c r="Q190" s="17"/>
      <c r="R190" s="17"/>
      <c r="S190" s="17"/>
      <c r="T190" s="17"/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170"/>
  <sheetViews>
    <sheetView zoomScaleNormal="100" workbookViewId="0"/>
  </sheetViews>
  <sheetFormatPr defaultColWidth="11.5703125" defaultRowHeight="12.75" customHeight="1" x14ac:dyDescent="0.2"/>
  <sheetData>
    <row r="1" spans="1:20" ht="15" x14ac:dyDescent="0.25">
      <c r="A1" s="17"/>
      <c r="B1" s="17"/>
      <c r="C1" s="672" t="s">
        <v>244</v>
      </c>
      <c r="D1" s="673">
        <v>0.101325143787575</v>
      </c>
      <c r="E1" s="17"/>
      <c r="F1" s="17"/>
      <c r="G1" s="712" t="s">
        <v>383</v>
      </c>
      <c r="H1" s="17"/>
      <c r="I1" s="17"/>
      <c r="J1" s="17"/>
      <c r="K1" s="17"/>
      <c r="L1" s="17"/>
      <c r="M1" s="17"/>
      <c r="N1" s="9"/>
      <c r="O1" s="647"/>
      <c r="P1" s="9"/>
      <c r="Q1" s="17"/>
      <c r="R1" s="17"/>
      <c r="S1" s="17"/>
      <c r="T1" s="17"/>
    </row>
    <row r="2" spans="1:20" x14ac:dyDescent="0.2">
      <c r="A2" s="17"/>
      <c r="B2" s="17"/>
      <c r="C2" s="417" t="s">
        <v>245</v>
      </c>
      <c r="D2" s="677">
        <v>3780.0837526401301</v>
      </c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spans="1:20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</row>
    <row r="4" spans="1:20" x14ac:dyDescent="0.2">
      <c r="A4" s="17"/>
      <c r="B4" s="17"/>
      <c r="C4" s="672" t="s">
        <v>244</v>
      </c>
      <c r="D4" s="673">
        <v>0.101325143787575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</row>
    <row r="5" spans="1:20" x14ac:dyDescent="0.2">
      <c r="A5" s="17"/>
      <c r="B5" s="17"/>
      <c r="C5" s="417" t="s">
        <v>245</v>
      </c>
      <c r="D5" s="677">
        <v>3780.0837526401301</v>
      </c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</row>
    <row r="6" spans="1:20" x14ac:dyDescent="0.2">
      <c r="A6" s="648"/>
      <c r="B6" s="265"/>
      <c r="C6" s="649" t="s">
        <v>337</v>
      </c>
      <c r="D6" s="650">
        <v>0.13</v>
      </c>
      <c r="E6" s="650">
        <v>0</v>
      </c>
      <c r="F6" s="651">
        <v>0.02</v>
      </c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</row>
    <row r="7" spans="1:20" x14ac:dyDescent="0.2">
      <c r="A7" s="648"/>
      <c r="B7" s="265"/>
      <c r="C7" s="648"/>
      <c r="D7" s="9"/>
      <c r="E7" s="9"/>
      <c r="F7" s="9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1:20" ht="15" x14ac:dyDescent="0.25">
      <c r="A8" s="9"/>
      <c r="B8" s="101" t="s">
        <v>34</v>
      </c>
      <c r="C8" s="102" t="s">
        <v>13</v>
      </c>
      <c r="D8" s="102"/>
      <c r="E8" s="652"/>
      <c r="F8" s="652"/>
      <c r="G8" s="17"/>
      <c r="H8" s="563" t="s">
        <v>248</v>
      </c>
      <c r="I8" s="564" t="s">
        <v>263</v>
      </c>
      <c r="J8" s="565" t="s">
        <v>264</v>
      </c>
      <c r="L8" s="17"/>
      <c r="M8" s="17"/>
      <c r="N8" s="17"/>
      <c r="O8" s="17"/>
      <c r="P8" s="17"/>
      <c r="Q8" s="17"/>
      <c r="R8" s="17"/>
      <c r="S8" s="17"/>
      <c r="T8" s="17"/>
    </row>
    <row r="9" spans="1:20" x14ac:dyDescent="0.2">
      <c r="A9" s="9"/>
      <c r="B9" s="9" t="s">
        <v>21</v>
      </c>
      <c r="C9" s="9"/>
      <c r="D9" s="9">
        <v>7690.8</v>
      </c>
      <c r="E9" s="9" t="s">
        <v>253</v>
      </c>
      <c r="F9" s="9"/>
      <c r="G9" s="9"/>
      <c r="H9" s="567">
        <v>3.048</v>
      </c>
      <c r="I9" s="568">
        <v>108</v>
      </c>
      <c r="J9" s="569">
        <f>C17</f>
        <v>8607.7389053354509</v>
      </c>
      <c r="L9" s="17"/>
      <c r="M9" s="563" t="s">
        <v>248</v>
      </c>
      <c r="N9" s="564" t="s">
        <v>263</v>
      </c>
      <c r="O9" s="565" t="s">
        <v>264</v>
      </c>
      <c r="Q9" s="17"/>
      <c r="R9" s="17"/>
      <c r="S9" s="17"/>
      <c r="T9" s="17"/>
    </row>
    <row r="10" spans="1:20" x14ac:dyDescent="0.2">
      <c r="A10" s="17"/>
      <c r="B10" s="9" t="s">
        <v>256</v>
      </c>
      <c r="C10" s="9"/>
      <c r="D10" s="9">
        <v>10.0267379679144</v>
      </c>
      <c r="E10" s="9" t="s">
        <v>257</v>
      </c>
      <c r="F10" s="9">
        <v>17.647058823529399</v>
      </c>
      <c r="G10" s="9" t="s">
        <v>258</v>
      </c>
      <c r="H10" s="567">
        <v>3.048</v>
      </c>
      <c r="I10" s="568">
        <v>63.5</v>
      </c>
      <c r="J10" s="569">
        <f>C29</f>
        <v>2853.9191945333</v>
      </c>
      <c r="L10" s="17"/>
      <c r="M10" s="567">
        <v>4.4999999999999998E-2</v>
      </c>
      <c r="N10" s="568">
        <v>57.15</v>
      </c>
      <c r="O10" s="569">
        <f>N20</f>
        <v>34353.982835744697</v>
      </c>
      <c r="Q10" s="17"/>
      <c r="R10" s="17"/>
      <c r="S10" s="17"/>
      <c r="T10" s="17"/>
    </row>
    <row r="11" spans="1:20" x14ac:dyDescent="0.2">
      <c r="A11" s="17"/>
      <c r="B11" s="9" t="s">
        <v>259</v>
      </c>
      <c r="C11" s="9"/>
      <c r="D11" s="9">
        <v>5712.4581795809099</v>
      </c>
      <c r="E11" s="9" t="s">
        <v>260</v>
      </c>
      <c r="F11" s="9">
        <v>6.0350394389827304</v>
      </c>
      <c r="G11" s="9" t="s">
        <v>261</v>
      </c>
      <c r="L11" s="17"/>
      <c r="M11" s="567">
        <v>4.4999999999999998E-2</v>
      </c>
      <c r="N11" s="568">
        <v>108.58499999999999</v>
      </c>
      <c r="O11" s="569">
        <f>N21</f>
        <v>4729.5274008241904</v>
      </c>
      <c r="Q11" s="17"/>
      <c r="R11" s="17"/>
      <c r="S11" s="17"/>
      <c r="T11" s="17"/>
    </row>
    <row r="12" spans="1:20" x14ac:dyDescent="0.2">
      <c r="A12" s="17"/>
      <c r="B12" s="9" t="s">
        <v>262</v>
      </c>
      <c r="C12" s="9"/>
      <c r="D12" s="9">
        <v>1419.0182739086299</v>
      </c>
      <c r="E12" s="9"/>
      <c r="F12" s="17"/>
      <c r="G12" s="17"/>
      <c r="L12" s="17"/>
      <c r="Q12" s="17"/>
      <c r="R12" s="17"/>
      <c r="S12" s="17"/>
      <c r="T12" s="17"/>
    </row>
    <row r="13" spans="1:20" x14ac:dyDescent="0.2">
      <c r="A13" s="17"/>
      <c r="B13" s="9" t="s">
        <v>265</v>
      </c>
      <c r="C13" s="9"/>
      <c r="D13" s="9"/>
      <c r="E13" s="9" t="s">
        <v>266</v>
      </c>
      <c r="F13" s="9">
        <v>12.157433156933299</v>
      </c>
      <c r="G13" s="9" t="s">
        <v>258</v>
      </c>
      <c r="K13" s="570" t="s">
        <v>268</v>
      </c>
      <c r="L13" s="17"/>
      <c r="Q13" s="17"/>
      <c r="R13" s="17"/>
      <c r="S13" s="17"/>
      <c r="T13" s="17"/>
    </row>
    <row r="14" spans="1:20" x14ac:dyDescent="0.2">
      <c r="A14" s="17"/>
      <c r="B14" s="9" t="s">
        <v>75</v>
      </c>
      <c r="C14" s="9"/>
      <c r="D14" s="9">
        <v>7.6877801479682297</v>
      </c>
      <c r="E14" s="9" t="s">
        <v>266</v>
      </c>
      <c r="F14" s="9">
        <v>51.642246751772397</v>
      </c>
      <c r="G14" s="9" t="s">
        <v>261</v>
      </c>
      <c r="K14" s="571">
        <f>IF(J9&lt;2500,16/J9,1/(-4*LOG(((H9/I9)/3.7065)-(5.0452/J9)*LOG((H9/I9)^1.1098/2.8257+(7.149/J9)^0.8981)))^2)</f>
        <v>1.4812968948668785E-2</v>
      </c>
      <c r="L14" s="17"/>
      <c r="P14" s="570" t="s">
        <v>268</v>
      </c>
      <c r="Q14" s="17"/>
      <c r="R14" s="17"/>
      <c r="S14" s="17"/>
      <c r="T14" s="17"/>
    </row>
    <row r="15" spans="1:20" x14ac:dyDescent="0.2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571">
        <f>IF(J10&lt;2500,16/J10,1/(-4*LOG(((H10/I10)/3.7065)-(5.0452/J10)*LOG((H10/I10)^1.1098/2.8257+(7.149/J10)^0.8981)))^2)</f>
        <v>1.9430448247522356E-2</v>
      </c>
      <c r="L15" s="17"/>
      <c r="P15" s="571">
        <f>IF(O10&lt;2500,16/O10,1/(-4*LOG(((M10/N10)/3.7065)-(5.0452/O10)*LOG((M10/N10)^1.1098/2.8257+(7.149/O10)^0.8981)))^2)</f>
        <v>6.2380267158162975E-3</v>
      </c>
      <c r="Q15" s="17"/>
      <c r="R15" s="17"/>
      <c r="S15" s="17"/>
      <c r="T15" s="17"/>
    </row>
    <row r="16" spans="1:20" x14ac:dyDescent="0.2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9"/>
      <c r="M16" s="17"/>
      <c r="N16" s="17"/>
      <c r="O16" s="17"/>
      <c r="P16" s="571">
        <f>IF(O11&lt;2500,16/O11,1/(-4*LOG(((M11/N11)/3.7065)-(5.0452/O11)*LOG((M11/N11)^1.1098/2.8257+(7.149/O11)^0.8981)))^2)</f>
        <v>9.5952896733296281E-3</v>
      </c>
      <c r="Q16" s="17"/>
      <c r="R16" s="17"/>
      <c r="S16" s="17"/>
      <c r="T16" s="17"/>
    </row>
    <row r="17" spans="1:20" ht="15" x14ac:dyDescent="0.25">
      <c r="A17" s="9"/>
      <c r="B17" s="653" t="s">
        <v>264</v>
      </c>
      <c r="C17" s="654">
        <v>8607.7389053354509</v>
      </c>
      <c r="D17" s="654" t="s">
        <v>269</v>
      </c>
      <c r="E17" s="655" t="s">
        <v>270</v>
      </c>
      <c r="F17" s="654">
        <v>0</v>
      </c>
      <c r="G17" s="655" t="s">
        <v>271</v>
      </c>
      <c r="H17" s="656">
        <v>5.2138720075795703E-3</v>
      </c>
      <c r="I17" s="655" t="s">
        <v>272</v>
      </c>
      <c r="J17" s="657">
        <v>102.425280479062</v>
      </c>
      <c r="K17" s="17"/>
      <c r="L17" s="645"/>
      <c r="M17" s="646" t="s">
        <v>273</v>
      </c>
      <c r="N17" s="431"/>
      <c r="O17" s="431" t="s">
        <v>274</v>
      </c>
      <c r="P17" s="431">
        <v>0.96</v>
      </c>
      <c r="Q17" s="431"/>
      <c r="R17" s="431"/>
      <c r="S17" s="686"/>
      <c r="T17" s="17"/>
    </row>
    <row r="18" spans="1:20" ht="15" x14ac:dyDescent="0.25">
      <c r="A18" s="9"/>
      <c r="B18" s="658" t="s">
        <v>264</v>
      </c>
      <c r="C18" s="654">
        <v>8607.7389053354509</v>
      </c>
      <c r="D18" s="662" t="s">
        <v>269</v>
      </c>
      <c r="E18" s="659" t="s">
        <v>270</v>
      </c>
      <c r="F18" s="654">
        <v>0</v>
      </c>
      <c r="G18" s="659" t="s">
        <v>271</v>
      </c>
      <c r="H18" s="656">
        <v>1.4664791536955701E-3</v>
      </c>
      <c r="I18" s="659" t="s">
        <v>272</v>
      </c>
      <c r="J18" s="657">
        <v>0.22924643698657099</v>
      </c>
      <c r="K18" s="17"/>
      <c r="L18" s="672"/>
      <c r="M18" s="9"/>
      <c r="N18" s="17"/>
      <c r="O18" s="17"/>
      <c r="P18" s="17"/>
      <c r="Q18" s="17"/>
      <c r="R18" s="17"/>
      <c r="S18" s="452"/>
      <c r="T18" s="17"/>
    </row>
    <row r="19" spans="1:20" ht="15" x14ac:dyDescent="0.25">
      <c r="A19" s="9"/>
      <c r="B19" s="658" t="s">
        <v>264</v>
      </c>
      <c r="C19" s="654">
        <v>8607.7389053354509</v>
      </c>
      <c r="D19" s="662" t="s">
        <v>269</v>
      </c>
      <c r="E19" s="659" t="s">
        <v>270</v>
      </c>
      <c r="F19" s="654">
        <v>0</v>
      </c>
      <c r="G19" s="659" t="s">
        <v>271</v>
      </c>
      <c r="H19" s="656">
        <v>1.4664791536955701E-3</v>
      </c>
      <c r="I19" s="659" t="s">
        <v>272</v>
      </c>
      <c r="J19" s="657">
        <v>15.0538493621182</v>
      </c>
      <c r="K19" s="17"/>
      <c r="L19" s="672"/>
      <c r="M19" s="9" t="s">
        <v>276</v>
      </c>
      <c r="N19" s="17"/>
      <c r="O19" s="17"/>
      <c r="P19" s="17"/>
      <c r="Q19" s="17"/>
      <c r="R19" s="17"/>
      <c r="S19" s="452"/>
      <c r="T19" s="17"/>
    </row>
    <row r="20" spans="1:20" ht="15" x14ac:dyDescent="0.25">
      <c r="A20" s="9"/>
      <c r="B20" s="658" t="s">
        <v>264</v>
      </c>
      <c r="C20" s="654">
        <v>8607.7389053354509</v>
      </c>
      <c r="D20" s="662" t="s">
        <v>269</v>
      </c>
      <c r="E20" s="659" t="s">
        <v>270</v>
      </c>
      <c r="F20" s="654">
        <v>0</v>
      </c>
      <c r="G20" s="659" t="s">
        <v>271</v>
      </c>
      <c r="H20" s="656">
        <v>1.4664791536955701E-3</v>
      </c>
      <c r="I20" s="659" t="s">
        <v>272</v>
      </c>
      <c r="J20" s="657">
        <v>7.6415478995523603E-2</v>
      </c>
      <c r="K20" s="17"/>
      <c r="L20" s="672" t="s">
        <v>277</v>
      </c>
      <c r="M20" s="9"/>
      <c r="N20" s="9">
        <v>34353.982835744697</v>
      </c>
      <c r="O20" s="17">
        <v>7.1507625928874099E-3</v>
      </c>
      <c r="P20" s="17">
        <v>231.634743056248</v>
      </c>
      <c r="Q20" s="17" t="s">
        <v>22</v>
      </c>
      <c r="R20" s="17" t="s">
        <v>278</v>
      </c>
      <c r="S20" s="452">
        <v>0</v>
      </c>
      <c r="T20" s="17"/>
    </row>
    <row r="21" spans="1:20" ht="15" x14ac:dyDescent="0.25">
      <c r="A21" s="9"/>
      <c r="B21" s="658" t="s">
        <v>264</v>
      </c>
      <c r="C21" s="654">
        <v>8607.7389053354509</v>
      </c>
      <c r="D21" s="662" t="s">
        <v>269</v>
      </c>
      <c r="E21" s="659" t="s">
        <v>270</v>
      </c>
      <c r="F21" s="654">
        <v>0</v>
      </c>
      <c r="G21" s="659" t="s">
        <v>271</v>
      </c>
      <c r="H21" s="656">
        <v>1.4664791536955701E-3</v>
      </c>
      <c r="I21" s="659" t="s">
        <v>272</v>
      </c>
      <c r="J21" s="657">
        <v>2.2924643698657099</v>
      </c>
      <c r="K21" s="17"/>
      <c r="L21" s="672" t="s">
        <v>279</v>
      </c>
      <c r="M21" s="9"/>
      <c r="N21" s="9">
        <v>4729.5274008241904</v>
      </c>
      <c r="O21" s="17">
        <v>1.12828550733533E-2</v>
      </c>
      <c r="P21" s="17">
        <v>444.26183045211297</v>
      </c>
      <c r="Q21" s="17" t="s">
        <v>22</v>
      </c>
      <c r="R21" s="17" t="s">
        <v>278</v>
      </c>
      <c r="S21" s="452">
        <v>0</v>
      </c>
      <c r="T21" s="17"/>
    </row>
    <row r="22" spans="1:20" ht="15" x14ac:dyDescent="0.25">
      <c r="A22" s="9"/>
      <c r="B22" s="658" t="s">
        <v>264</v>
      </c>
      <c r="C22" s="654">
        <v>8607.7389053354509</v>
      </c>
      <c r="D22" s="662" t="s">
        <v>269</v>
      </c>
      <c r="E22" s="659" t="s">
        <v>270</v>
      </c>
      <c r="F22" s="654">
        <v>0</v>
      </c>
      <c r="G22" s="659" t="s">
        <v>271</v>
      </c>
      <c r="H22" s="656">
        <v>1.4664791536955701E-3</v>
      </c>
      <c r="I22" s="659" t="s">
        <v>272</v>
      </c>
      <c r="J22" s="657">
        <v>7.6415478995523603E-2</v>
      </c>
      <c r="K22" s="17"/>
      <c r="L22" s="672"/>
      <c r="M22" s="9"/>
      <c r="N22" s="9"/>
      <c r="O22" s="17" t="s">
        <v>267</v>
      </c>
      <c r="P22" s="17">
        <v>675.89657350836103</v>
      </c>
      <c r="Q22" s="17" t="s">
        <v>22</v>
      </c>
      <c r="R22" s="17"/>
      <c r="S22" s="452"/>
      <c r="T22" s="17"/>
    </row>
    <row r="23" spans="1:20" ht="15" x14ac:dyDescent="0.25">
      <c r="A23" s="9"/>
      <c r="B23" s="658" t="s">
        <v>264</v>
      </c>
      <c r="C23" s="654">
        <v>8607.7389053354509</v>
      </c>
      <c r="D23" s="662" t="s">
        <v>269</v>
      </c>
      <c r="E23" s="659" t="s">
        <v>270</v>
      </c>
      <c r="F23" s="654">
        <v>0</v>
      </c>
      <c r="G23" s="659" t="s">
        <v>271</v>
      </c>
      <c r="H23" s="656">
        <v>1.4664791536955701E-3</v>
      </c>
      <c r="I23" s="659" t="s">
        <v>272</v>
      </c>
      <c r="J23" s="657">
        <v>2.2924643698657099</v>
      </c>
      <c r="K23" s="17"/>
      <c r="L23" s="672"/>
      <c r="M23" s="9"/>
      <c r="N23" s="17"/>
      <c r="O23" s="17"/>
      <c r="P23" s="17"/>
      <c r="Q23" s="17"/>
      <c r="R23" s="17"/>
      <c r="S23" s="452"/>
      <c r="T23" s="17"/>
    </row>
    <row r="24" spans="1:20" ht="15" x14ac:dyDescent="0.25">
      <c r="A24" s="9"/>
      <c r="B24" s="658" t="s">
        <v>264</v>
      </c>
      <c r="C24" s="654">
        <v>8607.7389053354509</v>
      </c>
      <c r="D24" s="662" t="s">
        <v>269</v>
      </c>
      <c r="E24" s="659" t="s">
        <v>270</v>
      </c>
      <c r="F24" s="654">
        <v>0</v>
      </c>
      <c r="G24" s="659" t="s">
        <v>271</v>
      </c>
      <c r="H24" s="656">
        <v>1.4664791536955701E-3</v>
      </c>
      <c r="I24" s="659" t="s">
        <v>272</v>
      </c>
      <c r="J24" s="657">
        <v>7.6415478995523603E-2</v>
      </c>
      <c r="K24" s="17"/>
      <c r="L24" s="672"/>
      <c r="M24" s="9"/>
      <c r="N24" s="17" t="s">
        <v>280</v>
      </c>
      <c r="O24" s="17" t="s">
        <v>267</v>
      </c>
      <c r="P24" s="9">
        <v>1059.49302663002</v>
      </c>
      <c r="Q24" s="17" t="s">
        <v>22</v>
      </c>
      <c r="R24" s="17"/>
      <c r="S24" s="452"/>
      <c r="T24" s="17"/>
    </row>
    <row r="25" spans="1:20" ht="15" x14ac:dyDescent="0.25">
      <c r="A25" s="9"/>
      <c r="B25" s="658" t="s">
        <v>264</v>
      </c>
      <c r="C25" s="654">
        <v>8607.7389053354509</v>
      </c>
      <c r="D25" s="662" t="s">
        <v>269</v>
      </c>
      <c r="E25" s="659" t="s">
        <v>270</v>
      </c>
      <c r="F25" s="654">
        <v>0</v>
      </c>
      <c r="G25" s="659" t="s">
        <v>271</v>
      </c>
      <c r="H25" s="656">
        <v>1.4664791536955701E-3</v>
      </c>
      <c r="I25" s="659" t="s">
        <v>272</v>
      </c>
      <c r="J25" s="657">
        <v>0.382077394977618</v>
      </c>
      <c r="K25" s="9"/>
      <c r="L25" s="672"/>
      <c r="M25" s="9"/>
      <c r="N25" s="17" t="s">
        <v>281</v>
      </c>
      <c r="O25" s="17"/>
      <c r="P25" s="17">
        <v>30</v>
      </c>
      <c r="Q25" s="17" t="s">
        <v>22</v>
      </c>
      <c r="R25" s="17"/>
      <c r="S25" s="673"/>
      <c r="T25" s="17"/>
    </row>
    <row r="26" spans="1:20" ht="15" x14ac:dyDescent="0.25">
      <c r="A26" s="9"/>
      <c r="B26" s="658" t="s">
        <v>264</v>
      </c>
      <c r="C26" s="654">
        <v>8607.7389053354509</v>
      </c>
      <c r="D26" s="662" t="s">
        <v>269</v>
      </c>
      <c r="E26" s="659" t="s">
        <v>270</v>
      </c>
      <c r="F26" s="654">
        <v>0</v>
      </c>
      <c r="G26" s="659" t="s">
        <v>271</v>
      </c>
      <c r="H26" s="656">
        <v>1.4664791536955701E-3</v>
      </c>
      <c r="I26" s="659" t="s">
        <v>272</v>
      </c>
      <c r="J26" s="657">
        <v>8.02362529452998</v>
      </c>
      <c r="K26" s="9"/>
      <c r="L26" s="672"/>
      <c r="M26" s="17"/>
      <c r="N26" s="17"/>
      <c r="O26" s="17"/>
      <c r="P26" s="9">
        <v>1089.49302663002</v>
      </c>
      <c r="Q26" s="17" t="s">
        <v>22</v>
      </c>
      <c r="R26" s="17"/>
      <c r="S26" s="452"/>
      <c r="T26" s="17"/>
    </row>
    <row r="27" spans="1:20" ht="15" x14ac:dyDescent="0.25">
      <c r="A27" s="9"/>
      <c r="B27" s="658" t="s">
        <v>264</v>
      </c>
      <c r="C27" s="654">
        <v>8607.7389053354509</v>
      </c>
      <c r="D27" s="662" t="s">
        <v>269</v>
      </c>
      <c r="E27" s="659" t="s">
        <v>270</v>
      </c>
      <c r="F27" s="654">
        <v>0</v>
      </c>
      <c r="G27" s="659" t="s">
        <v>271</v>
      </c>
      <c r="H27" s="656">
        <v>1.4664791536955701E-3</v>
      </c>
      <c r="I27" s="659" t="s">
        <v>272</v>
      </c>
      <c r="J27" s="657">
        <v>0.22924643698657099</v>
      </c>
      <c r="K27" s="9"/>
      <c r="L27" s="672"/>
      <c r="M27" s="17"/>
      <c r="N27" s="17"/>
      <c r="O27" s="17"/>
      <c r="P27" s="17"/>
      <c r="Q27" s="17"/>
      <c r="R27" s="17"/>
      <c r="S27" s="9"/>
      <c r="T27" s="17"/>
    </row>
    <row r="28" spans="1:20" ht="15" x14ac:dyDescent="0.25">
      <c r="A28" s="9"/>
      <c r="B28" s="658"/>
      <c r="C28" s="654"/>
      <c r="D28" s="659"/>
      <c r="E28" s="659" t="s">
        <v>282</v>
      </c>
      <c r="F28" s="654">
        <v>0</v>
      </c>
      <c r="G28" s="659"/>
      <c r="H28" s="660"/>
      <c r="I28" s="659" t="s">
        <v>282</v>
      </c>
      <c r="J28" s="661">
        <v>102.425280479062</v>
      </c>
      <c r="K28" s="17"/>
      <c r="L28" s="672"/>
      <c r="M28" s="17"/>
      <c r="N28" s="17"/>
      <c r="O28" s="17"/>
      <c r="P28" s="17"/>
      <c r="Q28" s="17"/>
      <c r="R28" s="17"/>
      <c r="S28" s="452"/>
      <c r="T28" s="17"/>
    </row>
    <row r="29" spans="1:20" ht="15" x14ac:dyDescent="0.25">
      <c r="A29" s="9" t="s">
        <v>261</v>
      </c>
      <c r="B29" s="658" t="s">
        <v>264</v>
      </c>
      <c r="C29" s="654">
        <v>2853.9191945333</v>
      </c>
      <c r="D29" s="662" t="s">
        <v>269</v>
      </c>
      <c r="E29" s="659" t="s">
        <v>270</v>
      </c>
      <c r="F29" s="654" t="s">
        <v>370</v>
      </c>
      <c r="G29" s="659" t="s">
        <v>271</v>
      </c>
      <c r="H29" s="663">
        <v>4.1601948543869196E-3</v>
      </c>
      <c r="I29" s="659" t="s">
        <v>284</v>
      </c>
      <c r="J29" s="664" t="s">
        <v>370</v>
      </c>
      <c r="K29" s="17"/>
      <c r="L29" s="672"/>
      <c r="M29" s="9"/>
      <c r="N29" s="17"/>
      <c r="O29" s="17"/>
      <c r="P29" s="17"/>
      <c r="Q29" s="17"/>
      <c r="R29" s="400"/>
      <c r="S29" s="452"/>
      <c r="T29" s="17"/>
    </row>
    <row r="30" spans="1:20" ht="15" x14ac:dyDescent="0.25">
      <c r="A30" s="9" t="s">
        <v>286</v>
      </c>
      <c r="B30" s="665" t="s">
        <v>264</v>
      </c>
      <c r="C30" s="654">
        <v>704.46582360464197</v>
      </c>
      <c r="D30" s="666" t="s">
        <v>278</v>
      </c>
      <c r="E30" s="667" t="s">
        <v>270</v>
      </c>
      <c r="F30" s="654">
        <v>211.17117264259301</v>
      </c>
      <c r="G30" s="667" t="s">
        <v>271</v>
      </c>
      <c r="H30" s="847">
        <v>0</v>
      </c>
      <c r="I30" s="667" t="s">
        <v>284</v>
      </c>
      <c r="J30" s="668">
        <v>0</v>
      </c>
      <c r="K30" s="17"/>
      <c r="L30" s="692"/>
      <c r="M30" s="693"/>
      <c r="O30" t="s">
        <v>369</v>
      </c>
      <c r="P30" s="407"/>
      <c r="Q30" s="54"/>
      <c r="R30" s="54" t="s">
        <v>283</v>
      </c>
      <c r="S30" s="469"/>
      <c r="T30" s="17"/>
    </row>
    <row r="31" spans="1:20" x14ac:dyDescent="0.2">
      <c r="A31" s="9"/>
      <c r="B31" s="9"/>
      <c r="C31" s="9"/>
      <c r="D31" s="9"/>
      <c r="E31" s="9"/>
      <c r="F31" s="9">
        <v>281.17117264259298</v>
      </c>
      <c r="G31" s="9"/>
      <c r="H31" s="9"/>
      <c r="I31" s="9"/>
      <c r="J31" s="9">
        <v>102.425280479062</v>
      </c>
      <c r="K31" s="17"/>
      <c r="L31" s="17"/>
      <c r="M31" s="17"/>
      <c r="N31" s="54" t="s">
        <v>285</v>
      </c>
      <c r="O31" s="581">
        <v>3027.1229332286198</v>
      </c>
      <c r="P31" s="581"/>
      <c r="Q31" s="54"/>
      <c r="R31" s="581">
        <v>1999.04344647173</v>
      </c>
      <c r="S31" s="17"/>
      <c r="T31" s="17"/>
    </row>
    <row r="32" spans="1:20" x14ac:dyDescent="0.2">
      <c r="A32" s="9" t="s">
        <v>288</v>
      </c>
      <c r="B32" s="9"/>
      <c r="C32" s="9"/>
      <c r="D32" s="9">
        <v>8074.3964531216498</v>
      </c>
      <c r="E32" s="9"/>
      <c r="F32" s="17"/>
      <c r="G32" s="17"/>
      <c r="H32" s="17"/>
      <c r="I32" s="9"/>
      <c r="J32" s="669"/>
      <c r="K32" s="17"/>
      <c r="L32" s="17"/>
      <c r="M32" s="17"/>
      <c r="N32" s="594" t="s">
        <v>287</v>
      </c>
      <c r="O32" s="595">
        <v>1967.6299065986</v>
      </c>
      <c r="P32" s="595"/>
      <c r="Q32" s="594"/>
      <c r="R32" s="595">
        <v>939.55041984171203</v>
      </c>
      <c r="S32" s="17"/>
      <c r="T32" s="17"/>
    </row>
    <row r="33" spans="1:20" ht="15" x14ac:dyDescent="0.25">
      <c r="A33" s="102" t="s">
        <v>123</v>
      </c>
      <c r="B33" s="102"/>
      <c r="C33" s="102"/>
      <c r="D33" s="17"/>
      <c r="E33" s="407"/>
      <c r="F33" s="9" t="s">
        <v>292</v>
      </c>
      <c r="G33" s="9"/>
      <c r="H33" s="9">
        <v>383.59645312165497</v>
      </c>
      <c r="I33" s="9"/>
      <c r="J33" s="17"/>
      <c r="K33" s="17"/>
      <c r="L33" s="17"/>
      <c r="M33" s="17"/>
      <c r="N33" s="54" t="s">
        <v>45</v>
      </c>
      <c r="O33" s="581">
        <v>496.72014292330698</v>
      </c>
      <c r="Q33" s="54"/>
      <c r="R33" s="581">
        <v>328.02273589275001</v>
      </c>
      <c r="S33" s="17"/>
      <c r="T33" s="17"/>
    </row>
    <row r="34" spans="1:20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54" t="s">
        <v>289</v>
      </c>
      <c r="O34" s="566">
        <v>0.18460862938658501</v>
      </c>
      <c r="P34" s="54" t="s">
        <v>290</v>
      </c>
      <c r="Q34" s="54"/>
      <c r="R34" s="566">
        <v>0.26715521725074098</v>
      </c>
      <c r="S34" s="17"/>
      <c r="T34" s="17"/>
    </row>
    <row r="35" spans="1:20" x14ac:dyDescent="0.2">
      <c r="A35" s="17"/>
      <c r="B35" s="9" t="s">
        <v>296</v>
      </c>
      <c r="C35" s="9"/>
      <c r="D35" s="9"/>
      <c r="E35" s="9"/>
      <c r="F35" s="9"/>
      <c r="G35" s="9"/>
      <c r="H35" s="9"/>
      <c r="I35" s="17"/>
      <c r="J35" s="17"/>
      <c r="K35" s="17"/>
      <c r="L35" s="17"/>
      <c r="M35" s="17"/>
      <c r="N35" s="407" t="s">
        <v>291</v>
      </c>
      <c r="O35" s="581">
        <v>8.9571605837330193</v>
      </c>
      <c r="P35" s="581"/>
      <c r="Q35" s="581"/>
      <c r="R35" s="581">
        <v>10.7752211235758</v>
      </c>
      <c r="S35" s="17"/>
      <c r="T35" s="17"/>
    </row>
    <row r="36" spans="1:20" ht="14.25" x14ac:dyDescent="0.2">
      <c r="A36" s="17"/>
      <c r="B36" s="670" t="s">
        <v>298</v>
      </c>
      <c r="C36" s="646"/>
      <c r="D36" s="646"/>
      <c r="E36" s="671"/>
      <c r="F36" s="670" t="s">
        <v>299</v>
      </c>
      <c r="G36" s="646"/>
      <c r="H36" s="671">
        <v>0</v>
      </c>
      <c r="I36" s="17"/>
      <c r="J36" s="17"/>
      <c r="K36" s="17"/>
      <c r="L36" s="17"/>
      <c r="M36" s="17"/>
      <c r="N36" s="54" t="s">
        <v>293</v>
      </c>
      <c r="O36" s="581">
        <v>8.9571605837330193</v>
      </c>
      <c r="P36" s="581"/>
      <c r="Q36" s="581"/>
      <c r="R36" s="581">
        <v>10.7752211235758</v>
      </c>
      <c r="S36" s="17"/>
      <c r="T36" s="17"/>
    </row>
    <row r="37" spans="1:20" x14ac:dyDescent="0.2">
      <c r="A37" s="17"/>
      <c r="B37" s="672" t="s">
        <v>301</v>
      </c>
      <c r="C37" s="9"/>
      <c r="D37" s="9" t="s">
        <v>302</v>
      </c>
      <c r="E37" s="673">
        <v>0.44948068042960698</v>
      </c>
      <c r="F37" s="672" t="s">
        <v>301</v>
      </c>
      <c r="G37" s="9" t="s">
        <v>303</v>
      </c>
      <c r="H37" s="673">
        <v>24.117232758929902</v>
      </c>
      <c r="I37" s="17"/>
      <c r="J37" s="17"/>
      <c r="K37" s="17"/>
      <c r="L37" s="17"/>
      <c r="M37" s="17"/>
      <c r="N37" s="54" t="s">
        <v>294</v>
      </c>
      <c r="O37" s="581">
        <v>8.9571605837330193</v>
      </c>
      <c r="P37" s="581"/>
      <c r="Q37" s="581"/>
      <c r="R37" s="581">
        <v>10.7752211235758</v>
      </c>
      <c r="S37" s="17"/>
      <c r="T37" s="17"/>
    </row>
    <row r="38" spans="1:20" x14ac:dyDescent="0.2">
      <c r="A38" s="17"/>
      <c r="B38" s="672"/>
      <c r="C38" s="9"/>
      <c r="D38" s="9" t="s">
        <v>304</v>
      </c>
      <c r="E38" s="673">
        <v>1.7979227217184299</v>
      </c>
      <c r="F38" s="672"/>
      <c r="G38" s="9" t="s">
        <v>305</v>
      </c>
      <c r="H38" s="673">
        <v>389.58606764425298</v>
      </c>
      <c r="I38" s="17"/>
      <c r="J38" s="17"/>
      <c r="K38" s="17"/>
      <c r="L38" s="17"/>
      <c r="M38" s="17"/>
      <c r="N38" s="54" t="s">
        <v>295</v>
      </c>
      <c r="O38" s="407" t="s">
        <v>46</v>
      </c>
      <c r="P38" s="407"/>
      <c r="Q38" s="407"/>
      <c r="R38" s="407" t="s">
        <v>46</v>
      </c>
      <c r="S38" s="17"/>
      <c r="T38" s="17"/>
    </row>
    <row r="39" spans="1:20" x14ac:dyDescent="0.2">
      <c r="A39" s="17"/>
      <c r="B39" s="672" t="s">
        <v>132</v>
      </c>
      <c r="C39" s="9"/>
      <c r="D39" s="9" t="s">
        <v>218</v>
      </c>
      <c r="E39" s="673">
        <v>69.249705795982806</v>
      </c>
      <c r="F39" s="672"/>
      <c r="G39" s="9" t="s">
        <v>306</v>
      </c>
      <c r="H39" s="674">
        <v>5.5E-2</v>
      </c>
      <c r="I39" s="17"/>
      <c r="J39" s="17"/>
      <c r="K39" s="17"/>
      <c r="L39" s="17"/>
      <c r="M39" s="17"/>
      <c r="N39" s="54" t="s">
        <v>297</v>
      </c>
      <c r="O39" s="407" t="s">
        <v>46</v>
      </c>
      <c r="P39" s="407"/>
      <c r="Q39" s="407"/>
      <c r="R39" s="407" t="s">
        <v>46</v>
      </c>
      <c r="S39" s="17"/>
      <c r="T39" s="17"/>
    </row>
    <row r="40" spans="1:20" x14ac:dyDescent="0.2">
      <c r="A40" s="17"/>
      <c r="B40" s="417"/>
      <c r="C40" s="675"/>
      <c r="D40" s="675"/>
      <c r="E40" s="676"/>
      <c r="F40" s="672" t="s">
        <v>307</v>
      </c>
      <c r="G40" s="17">
        <v>3600</v>
      </c>
      <c r="H40" s="673"/>
      <c r="I40" s="17"/>
      <c r="J40" s="17"/>
      <c r="K40" s="17"/>
      <c r="L40" s="17"/>
      <c r="M40" s="17"/>
      <c r="N40" s="54" t="s">
        <v>300</v>
      </c>
      <c r="O40" s="407" t="s">
        <v>46</v>
      </c>
      <c r="P40" s="407"/>
      <c r="Q40" s="407"/>
      <c r="R40" s="407" t="s">
        <v>46</v>
      </c>
      <c r="S40" s="17"/>
      <c r="T40" s="17"/>
    </row>
    <row r="41" spans="1:20" x14ac:dyDescent="0.2">
      <c r="A41" s="17"/>
      <c r="B41" s="17"/>
      <c r="C41" s="17"/>
      <c r="D41" s="17"/>
      <c r="E41" s="9"/>
      <c r="F41" s="417" t="s">
        <v>132</v>
      </c>
      <c r="G41" s="675"/>
      <c r="H41" s="677">
        <v>0</v>
      </c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</row>
    <row r="42" spans="1:20" x14ac:dyDescent="0.2">
      <c r="A42" s="9"/>
      <c r="B42" s="9"/>
      <c r="C42" s="9"/>
      <c r="D42" s="9"/>
      <c r="E42" s="9"/>
      <c r="F42" s="17"/>
      <c r="G42" s="17"/>
      <c r="H42" s="9"/>
      <c r="I42" s="17"/>
      <c r="J42" s="17"/>
      <c r="K42" s="17"/>
      <c r="L42" s="9"/>
      <c r="M42" s="9"/>
      <c r="N42" s="9"/>
      <c r="O42" s="9"/>
      <c r="P42" s="9"/>
      <c r="Q42" s="17"/>
      <c r="R42" s="17"/>
      <c r="S42" s="17"/>
      <c r="T42" s="17"/>
    </row>
    <row r="43" spans="1:20" x14ac:dyDescent="0.2">
      <c r="A43" s="17"/>
      <c r="B43" s="17"/>
      <c r="C43" s="17"/>
      <c r="D43" s="17"/>
      <c r="E43" s="17"/>
      <c r="F43" s="17"/>
      <c r="G43" s="17"/>
      <c r="H43" s="9"/>
      <c r="I43" s="17"/>
      <c r="J43" s="17"/>
      <c r="K43" s="17"/>
      <c r="L43" s="9"/>
      <c r="M43" s="9"/>
      <c r="N43" s="9"/>
      <c r="O43" s="9"/>
      <c r="P43" s="9"/>
      <c r="Q43" s="17"/>
      <c r="R43" s="17"/>
      <c r="S43" s="17"/>
      <c r="T43" s="17"/>
    </row>
    <row r="44" spans="1:20" x14ac:dyDescent="0.2">
      <c r="A44" s="17"/>
      <c r="B44" s="418" t="s">
        <v>192</v>
      </c>
      <c r="C44" s="431">
        <v>4599786</v>
      </c>
      <c r="D44" s="671">
        <v>0</v>
      </c>
      <c r="E44" s="17"/>
      <c r="F44" s="17"/>
      <c r="G44" s="17"/>
      <c r="H44" s="17"/>
      <c r="I44" s="17"/>
      <c r="J44" s="17"/>
      <c r="K44" s="17"/>
      <c r="L44" s="9"/>
      <c r="M44" s="9"/>
      <c r="N44" s="9"/>
      <c r="O44" s="9"/>
      <c r="P44" s="9"/>
      <c r="Q44" s="17"/>
      <c r="R44" s="17"/>
      <c r="S44" s="17"/>
      <c r="T44" s="17"/>
    </row>
    <row r="45" spans="1:20" x14ac:dyDescent="0.2">
      <c r="A45" s="17"/>
      <c r="B45" s="678"/>
      <c r="C45" s="9"/>
      <c r="D45" s="673">
        <v>0</v>
      </c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</row>
    <row r="46" spans="1:20" x14ac:dyDescent="0.2">
      <c r="A46" s="17"/>
      <c r="B46" s="672" t="s">
        <v>193</v>
      </c>
      <c r="C46" s="9">
        <v>1.397</v>
      </c>
      <c r="D46" s="452"/>
      <c r="E46" s="17"/>
      <c r="F46" s="17"/>
      <c r="G46" s="679" t="s">
        <v>135</v>
      </c>
      <c r="H46" s="680">
        <v>60</v>
      </c>
      <c r="I46" s="9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</row>
    <row r="47" spans="1:20" ht="15" x14ac:dyDescent="0.25">
      <c r="A47" s="17"/>
      <c r="B47" s="672" t="s">
        <v>194</v>
      </c>
      <c r="C47" s="9">
        <v>6.1280522599999996</v>
      </c>
      <c r="D47" s="452"/>
      <c r="E47" s="17"/>
      <c r="F47" s="17"/>
      <c r="G47" s="681" t="s">
        <v>136</v>
      </c>
      <c r="H47" s="681">
        <v>38</v>
      </c>
      <c r="I47" s="682">
        <v>383.59645312165497</v>
      </c>
      <c r="J47" s="9"/>
      <c r="K47" s="683"/>
      <c r="L47" s="17"/>
      <c r="M47" s="17"/>
      <c r="N47" s="17"/>
      <c r="O47" s="17"/>
      <c r="P47" s="17"/>
      <c r="Q47" s="17"/>
      <c r="R47" s="17"/>
      <c r="S47" s="17"/>
      <c r="T47" s="17"/>
    </row>
    <row r="48" spans="1:20" x14ac:dyDescent="0.2">
      <c r="A48" s="17"/>
      <c r="B48" s="672" t="s">
        <v>195</v>
      </c>
      <c r="C48" s="17">
        <v>8.5720263555203093</v>
      </c>
      <c r="D48" s="673">
        <v>6.4981525852600601</v>
      </c>
      <c r="E48" s="17"/>
      <c r="F48" s="17"/>
      <c r="G48" s="659" t="s">
        <v>311</v>
      </c>
      <c r="H48" s="684"/>
      <c r="I48" s="685">
        <v>322</v>
      </c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</row>
    <row r="49" spans="1:20" x14ac:dyDescent="0.2">
      <c r="A49" s="17"/>
      <c r="B49" s="672" t="s">
        <v>196</v>
      </c>
      <c r="C49" s="9">
        <v>0</v>
      </c>
      <c r="D49" s="673"/>
      <c r="E49" s="17"/>
      <c r="F49" s="17"/>
      <c r="G49" s="659" t="s">
        <v>338</v>
      </c>
      <c r="H49" s="684"/>
      <c r="I49" s="685">
        <v>7690.8</v>
      </c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</row>
    <row r="50" spans="1:20" x14ac:dyDescent="0.2">
      <c r="A50" s="17"/>
      <c r="B50" s="417" t="s">
        <v>200</v>
      </c>
      <c r="C50" s="430">
        <v>0</v>
      </c>
      <c r="D50" s="67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</row>
    <row r="51" spans="1:20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</row>
    <row r="52" spans="1:20" x14ac:dyDescent="0.2">
      <c r="A52" s="17"/>
      <c r="B52" s="17"/>
      <c r="C52" s="17"/>
      <c r="D52" s="17"/>
      <c r="E52" s="17"/>
      <c r="F52" s="17"/>
      <c r="G52" s="17"/>
      <c r="H52" s="645" t="s">
        <v>309</v>
      </c>
      <c r="I52" s="431"/>
      <c r="J52" s="671">
        <v>0</v>
      </c>
      <c r="K52" s="17" t="s">
        <v>22</v>
      </c>
      <c r="L52" s="17"/>
      <c r="M52" s="17"/>
      <c r="N52" s="17"/>
      <c r="O52" s="17"/>
      <c r="P52" s="17"/>
      <c r="Q52" s="17"/>
      <c r="R52" s="17"/>
      <c r="S52" s="17"/>
      <c r="T52" s="17"/>
    </row>
    <row r="53" spans="1:20" ht="15" x14ac:dyDescent="0.25">
      <c r="A53" s="17"/>
      <c r="B53" s="17"/>
      <c r="C53" s="17"/>
      <c r="D53" s="17"/>
      <c r="E53" s="17"/>
      <c r="F53" s="17"/>
      <c r="G53" s="17"/>
      <c r="H53" s="678"/>
      <c r="I53" s="9"/>
      <c r="J53" s="687">
        <v>0</v>
      </c>
      <c r="K53" s="17"/>
      <c r="L53" s="17"/>
      <c r="M53" s="17"/>
      <c r="N53" s="17"/>
      <c r="O53" s="17"/>
      <c r="P53" s="17"/>
      <c r="Q53" s="17"/>
      <c r="R53" s="17"/>
      <c r="S53" s="17"/>
      <c r="T53" s="17"/>
    </row>
    <row r="54" spans="1:20" ht="15" x14ac:dyDescent="0.25">
      <c r="A54" s="17"/>
      <c r="B54" s="688" t="s">
        <v>161</v>
      </c>
      <c r="C54" s="689"/>
      <c r="D54" s="689"/>
      <c r="E54" s="690"/>
      <c r="F54" s="9"/>
      <c r="G54" s="17"/>
      <c r="H54" s="672" t="s">
        <v>174</v>
      </c>
      <c r="I54" s="9"/>
      <c r="J54" s="691">
        <v>0</v>
      </c>
      <c r="K54" s="17" t="s">
        <v>175</v>
      </c>
      <c r="L54" s="17"/>
      <c r="M54" s="17"/>
      <c r="N54" s="17"/>
      <c r="O54" s="17"/>
      <c r="P54" s="17"/>
      <c r="Q54" s="17"/>
      <c r="R54" s="17"/>
      <c r="S54" s="17"/>
      <c r="T54" s="17"/>
    </row>
    <row r="55" spans="1:20" ht="15" x14ac:dyDescent="0.25">
      <c r="A55" s="17"/>
      <c r="B55" s="418" t="s">
        <v>95</v>
      </c>
      <c r="C55" s="431"/>
      <c r="D55" s="646">
        <v>0</v>
      </c>
      <c r="E55" s="686"/>
      <c r="F55" s="9"/>
      <c r="G55" s="17"/>
      <c r="H55" s="672" t="s">
        <v>176</v>
      </c>
      <c r="I55" s="9"/>
      <c r="J55" s="691">
        <v>0</v>
      </c>
      <c r="K55" s="9" t="s">
        <v>175</v>
      </c>
      <c r="L55" s="17"/>
      <c r="M55" s="17"/>
      <c r="N55" s="17"/>
      <c r="O55" s="17"/>
      <c r="P55" s="17"/>
      <c r="Q55" s="17"/>
      <c r="R55" s="17"/>
      <c r="S55" s="17"/>
      <c r="T55" s="17"/>
    </row>
    <row r="56" spans="1:20" ht="15" x14ac:dyDescent="0.25">
      <c r="A56" s="9"/>
      <c r="B56" s="678" t="s">
        <v>97</v>
      </c>
      <c r="C56" s="17"/>
      <c r="D56" s="682">
        <v>180</v>
      </c>
      <c r="E56" s="452" t="s">
        <v>175</v>
      </c>
      <c r="F56" s="9"/>
      <c r="G56" s="17"/>
      <c r="H56" s="672" t="s">
        <v>177</v>
      </c>
      <c r="I56" s="9"/>
      <c r="J56" s="691">
        <v>0</v>
      </c>
      <c r="K56" s="9"/>
      <c r="L56" s="17"/>
      <c r="M56" s="17"/>
      <c r="N56" s="17"/>
      <c r="O56" s="17"/>
      <c r="P56" s="17"/>
      <c r="Q56" s="17"/>
      <c r="R56" s="17"/>
      <c r="S56" s="17"/>
      <c r="T56" s="17"/>
    </row>
    <row r="57" spans="1:20" ht="15" x14ac:dyDescent="0.25">
      <c r="A57" s="17"/>
      <c r="B57" s="678" t="s">
        <v>313</v>
      </c>
      <c r="C57" s="17"/>
      <c r="D57" s="102">
        <v>0.13</v>
      </c>
      <c r="E57" s="452"/>
      <c r="F57" s="9"/>
      <c r="G57" s="17"/>
      <c r="H57" s="17"/>
      <c r="I57" s="17"/>
      <c r="J57" s="17"/>
      <c r="K57" s="9"/>
      <c r="L57" s="17"/>
      <c r="M57" s="17"/>
      <c r="N57" s="17"/>
      <c r="O57" s="17"/>
      <c r="P57" s="17"/>
      <c r="Q57" s="17"/>
      <c r="R57" s="17"/>
      <c r="S57" s="17"/>
      <c r="T57" s="17"/>
    </row>
    <row r="58" spans="1:20" ht="15" x14ac:dyDescent="0.25">
      <c r="A58" s="17"/>
      <c r="B58" s="678" t="s">
        <v>162</v>
      </c>
      <c r="C58" s="17"/>
      <c r="D58" s="17"/>
      <c r="E58" s="695">
        <v>49.821119495630803</v>
      </c>
      <c r="F58" s="9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</row>
    <row r="59" spans="1:20" x14ac:dyDescent="0.2">
      <c r="A59" s="17"/>
      <c r="B59" s="678" t="s">
        <v>314</v>
      </c>
      <c r="C59" s="17"/>
      <c r="D59" s="9">
        <v>6.4767455344320002</v>
      </c>
      <c r="E59" s="452"/>
      <c r="F59" s="9"/>
      <c r="G59" s="17"/>
      <c r="H59" s="692" t="s">
        <v>310</v>
      </c>
      <c r="I59" s="693"/>
      <c r="J59" s="694">
        <v>0</v>
      </c>
      <c r="K59" s="17"/>
      <c r="L59" s="17"/>
      <c r="M59" s="17"/>
      <c r="N59" s="17"/>
      <c r="O59" s="17"/>
      <c r="P59" s="17"/>
      <c r="Q59" s="17"/>
      <c r="R59" s="17"/>
      <c r="S59" s="17"/>
      <c r="T59" s="17"/>
    </row>
    <row r="60" spans="1:20" x14ac:dyDescent="0.2">
      <c r="A60" s="17"/>
      <c r="B60" s="678" t="s">
        <v>164</v>
      </c>
      <c r="C60" s="17"/>
      <c r="D60" s="9">
        <v>8.0674759498218407</v>
      </c>
      <c r="E60" s="452" t="s">
        <v>237</v>
      </c>
      <c r="F60" s="54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</row>
    <row r="61" spans="1:20" x14ac:dyDescent="0.2">
      <c r="A61" s="17"/>
      <c r="B61" s="672" t="s">
        <v>318</v>
      </c>
      <c r="C61" s="17"/>
      <c r="D61" s="9">
        <v>3.59215281568</v>
      </c>
      <c r="E61" s="452" t="s">
        <v>319</v>
      </c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</row>
    <row r="62" spans="1:20" x14ac:dyDescent="0.2">
      <c r="A62" s="17"/>
      <c r="B62" s="672" t="s">
        <v>108</v>
      </c>
      <c r="C62" s="9"/>
      <c r="D62" s="562">
        <v>1.1999999999999999E-3</v>
      </c>
      <c r="E62" s="673" t="s">
        <v>237</v>
      </c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</row>
    <row r="63" spans="1:20" ht="15" x14ac:dyDescent="0.25">
      <c r="A63" s="17"/>
      <c r="B63" s="697" t="s">
        <v>165</v>
      </c>
      <c r="C63" s="562"/>
      <c r="D63" s="698">
        <v>1.2057142911354199E-3</v>
      </c>
      <c r="E63" s="673" t="s">
        <v>237</v>
      </c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</row>
    <row r="64" spans="1:20" ht="15" x14ac:dyDescent="0.25">
      <c r="A64" s="17"/>
      <c r="B64" s="672" t="s">
        <v>166</v>
      </c>
      <c r="C64" s="9"/>
      <c r="D64" s="683" t="s">
        <v>167</v>
      </c>
      <c r="E64" s="452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</row>
    <row r="65" spans="1:20" ht="15" x14ac:dyDescent="0.25">
      <c r="A65" s="17"/>
      <c r="B65" s="697" t="s">
        <v>322</v>
      </c>
      <c r="C65" s="562"/>
      <c r="D65" s="698">
        <v>1.1411913572008299E-2</v>
      </c>
      <c r="E65" s="673" t="s">
        <v>319</v>
      </c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</row>
    <row r="66" spans="1:20" x14ac:dyDescent="0.2">
      <c r="A66" s="17"/>
      <c r="B66" s="678" t="s">
        <v>323</v>
      </c>
      <c r="C66" s="17"/>
      <c r="D66" s="562">
        <v>0</v>
      </c>
      <c r="E66" s="452" t="s">
        <v>324</v>
      </c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</row>
    <row r="67" spans="1:20" ht="15" x14ac:dyDescent="0.25">
      <c r="A67" s="17"/>
      <c r="B67" s="699" t="s">
        <v>325</v>
      </c>
      <c r="C67" s="430"/>
      <c r="D67" s="700">
        <v>22.265708117972</v>
      </c>
      <c r="E67" s="677" t="s">
        <v>326</v>
      </c>
      <c r="F67" s="9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</row>
    <row r="68" spans="1:20" x14ac:dyDescent="0.2">
      <c r="A68" s="17"/>
      <c r="B68" s="17"/>
      <c r="C68" s="17"/>
      <c r="D68" s="17"/>
      <c r="E68" s="17"/>
      <c r="F68" s="9"/>
      <c r="G68" s="17"/>
      <c r="H68" s="17"/>
      <c r="I68" s="17"/>
      <c r="J68" s="17"/>
      <c r="K68" s="9"/>
      <c r="L68" s="17"/>
      <c r="M68" s="17"/>
      <c r="N68" s="17"/>
      <c r="O68" s="17"/>
      <c r="P68" s="17"/>
      <c r="Q68" s="17"/>
      <c r="R68" s="17"/>
      <c r="S68" s="17"/>
      <c r="T68" s="17"/>
    </row>
    <row r="69" spans="1:20" x14ac:dyDescent="0.2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9"/>
      <c r="L69" s="17"/>
      <c r="M69" s="17"/>
      <c r="N69" s="17"/>
      <c r="O69" s="17"/>
      <c r="P69" s="17"/>
      <c r="Q69" s="17"/>
      <c r="R69" s="17"/>
      <c r="S69" s="17"/>
      <c r="T69" s="17"/>
    </row>
    <row r="70" spans="1:20" x14ac:dyDescent="0.2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9"/>
      <c r="L70" s="17"/>
      <c r="M70" s="17"/>
      <c r="N70" s="17"/>
      <c r="O70" s="17"/>
      <c r="P70" s="17"/>
      <c r="Q70" s="17"/>
      <c r="R70" s="17"/>
      <c r="S70" s="17"/>
      <c r="T70" s="17"/>
    </row>
    <row r="71" spans="1:20" x14ac:dyDescent="0.2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</row>
    <row r="72" spans="1:20" x14ac:dyDescent="0.2">
      <c r="A72" s="688" t="s">
        <v>349</v>
      </c>
      <c r="B72" s="689"/>
      <c r="C72" s="713">
        <v>0</v>
      </c>
      <c r="D72" s="686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</row>
    <row r="73" spans="1:20" ht="15" x14ac:dyDescent="0.25">
      <c r="A73" s="672" t="s">
        <v>343</v>
      </c>
      <c r="B73" s="9"/>
      <c r="C73" s="102">
        <v>3</v>
      </c>
      <c r="D73" s="673" t="s">
        <v>344</v>
      </c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</row>
    <row r="74" spans="1:20" ht="15" x14ac:dyDescent="0.25">
      <c r="A74" s="417" t="s">
        <v>345</v>
      </c>
      <c r="B74" s="675"/>
      <c r="C74" s="702">
        <v>112.838677362561</v>
      </c>
      <c r="D74" s="677" t="s">
        <v>344</v>
      </c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</row>
    <row r="75" spans="1:20" x14ac:dyDescent="0.2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</row>
    <row r="76" spans="1:20" x14ac:dyDescent="0.2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</row>
    <row r="77" spans="1:20" x14ac:dyDescent="0.2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</row>
    <row r="78" spans="1:20" x14ac:dyDescent="0.2">
      <c r="A78" s="688" t="s">
        <v>340</v>
      </c>
      <c r="B78" s="689"/>
      <c r="C78" s="689"/>
      <c r="D78" s="690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</row>
    <row r="79" spans="1:20" ht="15" x14ac:dyDescent="0.25">
      <c r="A79" s="672" t="s">
        <v>331</v>
      </c>
      <c r="B79" s="9"/>
      <c r="C79" s="102" t="s">
        <v>13</v>
      </c>
      <c r="D79" s="673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</row>
    <row r="80" spans="1:20" ht="15" x14ac:dyDescent="0.25">
      <c r="A80" s="672" t="s">
        <v>332</v>
      </c>
      <c r="B80" s="9"/>
      <c r="C80" s="102">
        <v>0</v>
      </c>
      <c r="D80" s="673" t="s">
        <v>237</v>
      </c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</row>
    <row r="81" spans="1:20" x14ac:dyDescent="0.2">
      <c r="A81" s="672" t="s">
        <v>341</v>
      </c>
      <c r="B81" s="9" t="s">
        <v>240</v>
      </c>
      <c r="C81" s="9">
        <v>0</v>
      </c>
      <c r="D81" s="673" t="s">
        <v>237</v>
      </c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</row>
    <row r="82" spans="1:20" x14ac:dyDescent="0.2">
      <c r="A82" s="672"/>
      <c r="B82" s="9" t="s">
        <v>342</v>
      </c>
      <c r="C82" s="9">
        <v>0</v>
      </c>
      <c r="D82" s="452" t="s">
        <v>237</v>
      </c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9"/>
      <c r="Q82" s="17"/>
      <c r="R82" s="17"/>
      <c r="S82" s="17"/>
      <c r="T82" s="17"/>
    </row>
    <row r="83" spans="1:20" ht="15" x14ac:dyDescent="0.25">
      <c r="A83" s="672" t="s">
        <v>171</v>
      </c>
      <c r="B83" s="9"/>
      <c r="C83" s="102">
        <v>22.2384743624776</v>
      </c>
      <c r="D83" s="673" t="s">
        <v>237</v>
      </c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</row>
    <row r="84" spans="1:20" ht="15" x14ac:dyDescent="0.25">
      <c r="A84" s="672" t="s">
        <v>172</v>
      </c>
      <c r="B84" s="17"/>
      <c r="C84" s="701">
        <v>25.2080940146774</v>
      </c>
      <c r="D84" s="673" t="s">
        <v>237</v>
      </c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</row>
    <row r="85" spans="1:20" ht="15" x14ac:dyDescent="0.25">
      <c r="A85" s="417" t="s">
        <v>173</v>
      </c>
      <c r="B85" s="675"/>
      <c r="C85" s="702">
        <v>47.446568377155003</v>
      </c>
      <c r="D85" s="469" t="s">
        <v>237</v>
      </c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9"/>
      <c r="Q85" s="17"/>
      <c r="R85" s="17"/>
      <c r="S85" s="17"/>
      <c r="T85" s="17"/>
    </row>
    <row r="86" spans="1:20" x14ac:dyDescent="0.2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</row>
    <row r="89" spans="1:20" x14ac:dyDescent="0.2">
      <c r="A89" s="17"/>
      <c r="B89" s="17"/>
      <c r="C89" s="17"/>
      <c r="D89" s="17"/>
      <c r="E89" s="17"/>
    </row>
    <row r="90" spans="1:20" x14ac:dyDescent="0.2">
      <c r="A90" s="17"/>
      <c r="B90" s="17"/>
      <c r="C90" s="17"/>
      <c r="D90" s="17"/>
      <c r="E90" s="17"/>
    </row>
    <row r="91" spans="1:20" x14ac:dyDescent="0.2">
      <c r="A91" s="17"/>
      <c r="B91" s="714" t="s">
        <v>125</v>
      </c>
      <c r="C91" s="689"/>
      <c r="D91" s="690">
        <v>0</v>
      </c>
      <c r="E91" s="17"/>
    </row>
    <row r="92" spans="1:20" x14ac:dyDescent="0.2">
      <c r="A92" s="17"/>
      <c r="B92" s="17"/>
      <c r="C92" s="17"/>
      <c r="D92" s="17"/>
      <c r="E92" s="17"/>
    </row>
    <row r="94" spans="1:20" x14ac:dyDescent="0.2">
      <c r="A94" s="17"/>
      <c r="B94" s="17"/>
      <c r="C94" s="17"/>
      <c r="D94" s="9"/>
      <c r="E94" s="17"/>
    </row>
    <row r="95" spans="1:20" x14ac:dyDescent="0.2">
      <c r="A95" s="17"/>
      <c r="B95" s="113" t="s">
        <v>39</v>
      </c>
      <c r="C95" s="431"/>
      <c r="D95" s="671">
        <v>0</v>
      </c>
      <c r="E95" s="17"/>
    </row>
    <row r="96" spans="1:20" x14ac:dyDescent="0.2">
      <c r="A96" s="17"/>
      <c r="B96" s="120" t="s">
        <v>43</v>
      </c>
      <c r="C96" s="17"/>
      <c r="D96" s="452">
        <v>0</v>
      </c>
      <c r="E96" s="17"/>
    </row>
    <row r="97" spans="1:7" x14ac:dyDescent="0.2">
      <c r="A97" s="17"/>
      <c r="B97" s="120" t="s">
        <v>371</v>
      </c>
      <c r="C97" s="17"/>
      <c r="D97" s="452" t="s">
        <v>283</v>
      </c>
      <c r="E97" s="17"/>
    </row>
    <row r="98" spans="1:7" x14ac:dyDescent="0.2">
      <c r="A98" s="17"/>
      <c r="B98" s="145" t="s">
        <v>51</v>
      </c>
      <c r="C98" s="693"/>
      <c r="D98" s="469">
        <v>0</v>
      </c>
      <c r="E98" s="17"/>
    </row>
    <row r="99" spans="1:7" x14ac:dyDescent="0.2">
      <c r="A99" s="17"/>
      <c r="B99" s="17"/>
      <c r="C99" s="17"/>
      <c r="D99" s="17"/>
      <c r="E99" s="17"/>
    </row>
    <row r="102" spans="1:7" x14ac:dyDescent="0.2">
      <c r="A102" s="17"/>
      <c r="B102" s="17"/>
      <c r="C102" s="17"/>
      <c r="D102" s="17"/>
      <c r="E102" s="17"/>
      <c r="F102" s="17"/>
      <c r="G102" s="17"/>
    </row>
    <row r="103" spans="1:7" x14ac:dyDescent="0.2">
      <c r="A103" s="17"/>
      <c r="B103" s="17"/>
      <c r="C103" s="17"/>
      <c r="D103" s="17"/>
      <c r="E103" s="17"/>
      <c r="F103" s="17"/>
      <c r="G103" s="17"/>
    </row>
    <row r="104" spans="1:7" ht="14.25" x14ac:dyDescent="0.2">
      <c r="A104" s="17"/>
      <c r="B104" s="110" t="s">
        <v>178</v>
      </c>
      <c r="C104" s="111"/>
      <c r="D104" s="111"/>
      <c r="E104" s="111"/>
      <c r="F104" s="1187"/>
      <c r="G104" s="17"/>
    </row>
    <row r="105" spans="1:7" x14ac:dyDescent="0.2">
      <c r="A105" s="17"/>
      <c r="B105" s="293" t="s">
        <v>331</v>
      </c>
      <c r="C105" s="158"/>
      <c r="D105" s="1216"/>
      <c r="E105" s="17"/>
      <c r="F105" s="461"/>
      <c r="G105" s="17"/>
    </row>
    <row r="106" spans="1:7" ht="15" x14ac:dyDescent="0.25">
      <c r="A106" s="17"/>
      <c r="B106" s="299" t="s">
        <v>332</v>
      </c>
      <c r="C106" s="140"/>
      <c r="D106" s="117"/>
      <c r="E106" s="17"/>
      <c r="F106" s="1017" t="s">
        <v>48</v>
      </c>
      <c r="G106" s="17"/>
    </row>
    <row r="107" spans="1:7" ht="15" x14ac:dyDescent="0.25">
      <c r="A107" s="17"/>
      <c r="B107" s="299" t="s">
        <v>179</v>
      </c>
      <c r="C107" s="140"/>
      <c r="D107" s="117"/>
      <c r="E107" s="17"/>
      <c r="F107" s="1017" t="s">
        <v>48</v>
      </c>
      <c r="G107" s="17"/>
    </row>
    <row r="108" spans="1:7" ht="15" x14ac:dyDescent="0.25">
      <c r="A108" s="17"/>
      <c r="B108" s="299" t="s">
        <v>180</v>
      </c>
      <c r="C108" s="117"/>
      <c r="D108" s="117"/>
      <c r="E108" s="17"/>
      <c r="F108" s="1017" t="s">
        <v>48</v>
      </c>
      <c r="G108" s="17"/>
    </row>
    <row r="109" spans="1:7" ht="15" x14ac:dyDescent="0.25">
      <c r="A109" s="17"/>
      <c r="B109" s="299" t="s">
        <v>181</v>
      </c>
      <c r="C109" s="140"/>
      <c r="D109" s="117"/>
      <c r="E109" s="17"/>
      <c r="F109" s="1017" t="s">
        <v>48</v>
      </c>
      <c r="G109" s="17"/>
    </row>
    <row r="110" spans="1:7" ht="15" x14ac:dyDescent="0.25">
      <c r="A110" s="17"/>
      <c r="B110" s="299" t="s">
        <v>182</v>
      </c>
      <c r="C110" s="140"/>
      <c r="D110" s="117"/>
      <c r="E110" s="17"/>
      <c r="F110" s="1017" t="s">
        <v>175</v>
      </c>
      <c r="G110" s="17"/>
    </row>
    <row r="111" spans="1:7" ht="15" x14ac:dyDescent="0.25">
      <c r="A111" s="17"/>
      <c r="B111" s="299" t="s">
        <v>183</v>
      </c>
      <c r="C111" s="140"/>
      <c r="D111" s="117"/>
      <c r="E111" s="17"/>
      <c r="F111" s="1017" t="s">
        <v>175</v>
      </c>
      <c r="G111" s="17"/>
    </row>
    <row r="112" spans="1:7" x14ac:dyDescent="0.2">
      <c r="A112" s="17"/>
      <c r="B112" s="145" t="s">
        <v>177</v>
      </c>
      <c r="C112" s="146"/>
      <c r="D112" s="146"/>
      <c r="E112" s="17"/>
      <c r="F112" s="1220"/>
      <c r="G112" s="17"/>
    </row>
    <row r="113" spans="1:7" x14ac:dyDescent="0.2">
      <c r="A113" s="17"/>
      <c r="B113" s="17"/>
      <c r="C113" s="17"/>
      <c r="D113" s="17"/>
      <c r="E113" s="17"/>
      <c r="F113" s="17"/>
      <c r="G113" s="17"/>
    </row>
    <row r="114" spans="1:7" x14ac:dyDescent="0.2">
      <c r="A114" s="17"/>
      <c r="B114" s="17"/>
      <c r="C114" s="17"/>
      <c r="D114" s="17"/>
      <c r="E114" s="17"/>
      <c r="F114" s="17"/>
      <c r="G114" s="17"/>
    </row>
    <row r="115" spans="1:7" x14ac:dyDescent="0.2">
      <c r="A115" s="17"/>
      <c r="B115" s="17"/>
      <c r="C115" s="17"/>
      <c r="D115" s="17"/>
      <c r="E115" s="17"/>
      <c r="F115" s="17"/>
      <c r="G115" s="17"/>
    </row>
    <row r="116" spans="1:7" ht="14.25" x14ac:dyDescent="0.2">
      <c r="A116" s="17"/>
      <c r="B116" s="285" t="s">
        <v>140</v>
      </c>
      <c r="C116" s="286"/>
      <c r="D116" s="286"/>
      <c r="E116" s="716"/>
      <c r="F116" s="112"/>
      <c r="G116" s="17"/>
    </row>
    <row r="117" spans="1:7" ht="15" x14ac:dyDescent="0.25">
      <c r="A117" s="17"/>
      <c r="B117" s="299" t="s">
        <v>141</v>
      </c>
      <c r="C117" s="140"/>
      <c r="D117" s="140"/>
      <c r="E117" s="17"/>
      <c r="F117" s="1221" t="s">
        <v>22</v>
      </c>
      <c r="G117" s="17"/>
    </row>
    <row r="118" spans="1:7" ht="15" x14ac:dyDescent="0.25">
      <c r="A118" s="17"/>
      <c r="B118" s="299" t="s">
        <v>142</v>
      </c>
      <c r="C118" s="140"/>
      <c r="D118" s="117"/>
      <c r="E118" s="17"/>
      <c r="F118" s="1017" t="s">
        <v>46</v>
      </c>
      <c r="G118" s="17"/>
    </row>
    <row r="119" spans="1:7" ht="15" x14ac:dyDescent="0.25">
      <c r="A119" s="17"/>
      <c r="B119" s="299" t="s">
        <v>143</v>
      </c>
      <c r="C119" s="140"/>
      <c r="D119" s="117"/>
      <c r="E119" s="17"/>
      <c r="F119" s="1017" t="s">
        <v>27</v>
      </c>
      <c r="G119" s="17"/>
    </row>
    <row r="120" spans="1:7" ht="15" x14ac:dyDescent="0.25">
      <c r="A120" s="17"/>
      <c r="B120" s="299" t="s">
        <v>144</v>
      </c>
      <c r="C120" s="140"/>
      <c r="D120" s="117"/>
      <c r="E120" s="17"/>
      <c r="F120" s="1017" t="s">
        <v>46</v>
      </c>
      <c r="G120" s="17"/>
    </row>
    <row r="121" spans="1:7" ht="15" x14ac:dyDescent="0.25">
      <c r="A121" s="17"/>
      <c r="B121" s="299" t="s">
        <v>145</v>
      </c>
      <c r="C121" s="140"/>
      <c r="D121" s="117"/>
      <c r="E121" s="17"/>
      <c r="F121" s="1017" t="s">
        <v>27</v>
      </c>
      <c r="G121" s="17"/>
    </row>
    <row r="122" spans="1:7" ht="15" x14ac:dyDescent="0.25">
      <c r="A122" s="17"/>
      <c r="B122" s="299" t="s">
        <v>146</v>
      </c>
      <c r="C122" s="140"/>
      <c r="D122" s="117"/>
      <c r="E122" s="17"/>
      <c r="F122" s="1017" t="s">
        <v>73</v>
      </c>
      <c r="G122" s="17"/>
    </row>
    <row r="123" spans="1:7" ht="15" x14ac:dyDescent="0.25">
      <c r="A123" s="17"/>
      <c r="B123" s="299" t="s">
        <v>147</v>
      </c>
      <c r="C123" s="140"/>
      <c r="D123" s="140"/>
      <c r="E123" s="17"/>
      <c r="F123" s="1017" t="s">
        <v>148</v>
      </c>
      <c r="G123" s="17"/>
    </row>
    <row r="124" spans="1:7" ht="15" x14ac:dyDescent="0.25">
      <c r="A124" s="17"/>
      <c r="B124" s="299" t="s">
        <v>149</v>
      </c>
      <c r="C124" s="140"/>
      <c r="D124" s="140"/>
      <c r="E124" s="17"/>
      <c r="F124" s="1017" t="s">
        <v>382</v>
      </c>
      <c r="G124" s="17"/>
    </row>
    <row r="125" spans="1:7" ht="15" x14ac:dyDescent="0.25">
      <c r="A125" s="17"/>
      <c r="B125" s="299" t="s">
        <v>151</v>
      </c>
      <c r="C125" s="140"/>
      <c r="D125" s="140"/>
      <c r="E125" s="17"/>
      <c r="F125" s="1017" t="s">
        <v>48</v>
      </c>
      <c r="G125" s="17"/>
    </row>
    <row r="126" spans="1:7" ht="15" x14ac:dyDescent="0.25">
      <c r="A126" s="17"/>
      <c r="B126" s="299" t="s">
        <v>152</v>
      </c>
      <c r="C126" s="140"/>
      <c r="D126" s="140"/>
      <c r="E126" s="17"/>
      <c r="F126" s="1017" t="s">
        <v>48</v>
      </c>
      <c r="G126" s="17"/>
    </row>
    <row r="127" spans="1:7" ht="15" x14ac:dyDescent="0.25">
      <c r="A127" s="17"/>
      <c r="B127" s="299" t="s">
        <v>153</v>
      </c>
      <c r="C127" s="140"/>
      <c r="D127" s="140"/>
      <c r="E127" s="17"/>
      <c r="F127" s="1017" t="s">
        <v>48</v>
      </c>
      <c r="G127" s="17"/>
    </row>
    <row r="128" spans="1:7" ht="15" x14ac:dyDescent="0.25">
      <c r="A128" s="17"/>
      <c r="B128" s="306" t="s">
        <v>154</v>
      </c>
      <c r="C128" s="710"/>
      <c r="D128" s="117"/>
      <c r="E128" s="17"/>
      <c r="F128" s="1017" t="s">
        <v>155</v>
      </c>
      <c r="G128" s="17"/>
    </row>
    <row r="129" spans="1:7" ht="15" x14ac:dyDescent="0.25">
      <c r="A129" s="17"/>
      <c r="B129" s="306" t="s">
        <v>156</v>
      </c>
      <c r="C129" s="710"/>
      <c r="D129" s="117"/>
      <c r="E129" s="17"/>
      <c r="F129" s="1017" t="s">
        <v>157</v>
      </c>
      <c r="G129" s="17"/>
    </row>
    <row r="130" spans="1:7" ht="15" x14ac:dyDescent="0.25">
      <c r="A130" s="17"/>
      <c r="B130" s="299" t="s">
        <v>158</v>
      </c>
      <c r="C130" s="140"/>
      <c r="D130" s="117"/>
      <c r="E130" s="17"/>
      <c r="F130" s="1017"/>
      <c r="G130" s="17"/>
    </row>
    <row r="131" spans="1:7" ht="15" x14ac:dyDescent="0.25">
      <c r="A131" s="17"/>
      <c r="B131" s="308" t="s">
        <v>159</v>
      </c>
      <c r="C131" s="711"/>
      <c r="D131" s="146"/>
      <c r="E131" s="17"/>
      <c r="F131" s="264" t="s">
        <v>160</v>
      </c>
      <c r="G131" s="17"/>
    </row>
    <row r="132" spans="1:7" x14ac:dyDescent="0.2">
      <c r="A132" s="17"/>
      <c r="B132" s="17"/>
      <c r="C132" s="17"/>
      <c r="D132" s="17"/>
      <c r="E132" s="17"/>
      <c r="F132" s="17"/>
      <c r="G132" s="17"/>
    </row>
    <row r="133" spans="1:7" x14ac:dyDescent="0.2">
      <c r="A133" s="17"/>
      <c r="B133" s="17"/>
      <c r="C133" s="17"/>
      <c r="D133" s="17"/>
      <c r="E133" s="17"/>
      <c r="F133" s="17"/>
      <c r="G133" s="17"/>
    </row>
    <row r="135" spans="1:7" x14ac:dyDescent="0.2">
      <c r="A135" s="17"/>
      <c r="B135" s="17"/>
      <c r="C135" s="17"/>
      <c r="D135" s="17"/>
      <c r="E135" s="17"/>
      <c r="F135" s="17"/>
      <c r="G135" s="17"/>
    </row>
    <row r="136" spans="1:7" ht="14.25" x14ac:dyDescent="0.2">
      <c r="A136" s="17"/>
      <c r="B136" s="110" t="s">
        <v>330</v>
      </c>
      <c r="C136" s="111"/>
      <c r="D136" s="111"/>
      <c r="E136" s="149"/>
      <c r="F136" s="1187"/>
      <c r="G136" s="17"/>
    </row>
    <row r="137" spans="1:7" x14ac:dyDescent="0.2">
      <c r="A137" s="17"/>
      <c r="B137" s="293" t="s">
        <v>169</v>
      </c>
      <c r="C137" s="158"/>
      <c r="D137" s="1216"/>
      <c r="E137" s="17"/>
      <c r="F137" s="1222"/>
      <c r="G137" s="17"/>
    </row>
    <row r="138" spans="1:7" ht="15" x14ac:dyDescent="0.25">
      <c r="A138" s="17"/>
      <c r="B138" s="299" t="s">
        <v>332</v>
      </c>
      <c r="C138" s="140"/>
      <c r="D138" s="117"/>
      <c r="E138" s="17"/>
      <c r="F138" s="320" t="s">
        <v>48</v>
      </c>
      <c r="G138" s="17"/>
    </row>
    <row r="139" spans="1:7" ht="15" x14ac:dyDescent="0.25">
      <c r="A139" s="17"/>
      <c r="B139" s="299" t="s">
        <v>171</v>
      </c>
      <c r="C139" s="140"/>
      <c r="D139" s="117"/>
      <c r="E139" s="17"/>
      <c r="F139" s="320" t="s">
        <v>48</v>
      </c>
      <c r="G139" s="17"/>
    </row>
    <row r="140" spans="1:7" ht="15" x14ac:dyDescent="0.25">
      <c r="A140" s="17"/>
      <c r="B140" s="299" t="s">
        <v>172</v>
      </c>
      <c r="C140" s="117"/>
      <c r="D140" s="117"/>
      <c r="E140" s="17"/>
      <c r="F140" s="320" t="s">
        <v>48</v>
      </c>
      <c r="G140" s="17"/>
    </row>
    <row r="141" spans="1:7" ht="15" x14ac:dyDescent="0.25">
      <c r="A141" s="17"/>
      <c r="B141" s="299" t="s">
        <v>173</v>
      </c>
      <c r="C141" s="140"/>
      <c r="D141" s="117"/>
      <c r="E141" s="17"/>
      <c r="F141" s="320" t="s">
        <v>48</v>
      </c>
      <c r="G141" s="17"/>
    </row>
    <row r="142" spans="1:7" ht="15" x14ac:dyDescent="0.25">
      <c r="A142" s="17"/>
      <c r="B142" s="299" t="s">
        <v>174</v>
      </c>
      <c r="C142" s="140"/>
      <c r="D142" s="117"/>
      <c r="E142" s="17"/>
      <c r="F142" s="320" t="s">
        <v>175</v>
      </c>
      <c r="G142" s="17"/>
    </row>
    <row r="143" spans="1:7" ht="15" x14ac:dyDescent="0.25">
      <c r="A143" s="17"/>
      <c r="B143" s="299" t="s">
        <v>176</v>
      </c>
      <c r="C143" s="140"/>
      <c r="D143" s="117"/>
      <c r="E143" s="17"/>
      <c r="F143" s="320" t="s">
        <v>175</v>
      </c>
      <c r="G143" s="17"/>
    </row>
    <row r="144" spans="1:7" x14ac:dyDescent="0.2">
      <c r="A144" s="17"/>
      <c r="B144" s="131" t="s">
        <v>177</v>
      </c>
      <c r="C144" s="1215"/>
      <c r="D144" s="146"/>
      <c r="E144" s="17"/>
      <c r="F144" s="1223"/>
      <c r="G144" s="17"/>
    </row>
    <row r="145" spans="1:7" x14ac:dyDescent="0.2">
      <c r="A145" s="17"/>
      <c r="B145" s="17"/>
      <c r="C145" s="17"/>
      <c r="D145" s="17"/>
      <c r="E145" s="17"/>
      <c r="F145" s="17"/>
      <c r="G145" s="17"/>
    </row>
    <row r="147" spans="1:7" x14ac:dyDescent="0.2">
      <c r="A147" s="17"/>
      <c r="B147" s="17"/>
      <c r="C147" s="17"/>
      <c r="D147" s="17"/>
      <c r="E147" s="17"/>
      <c r="F147" s="17"/>
    </row>
    <row r="148" spans="1:7" x14ac:dyDescent="0.2">
      <c r="A148" s="17"/>
      <c r="B148" s="17"/>
      <c r="C148" s="17"/>
      <c r="D148" s="17"/>
      <c r="E148" s="17"/>
      <c r="F148" s="17"/>
    </row>
    <row r="149" spans="1:7" ht="14.25" x14ac:dyDescent="0.2">
      <c r="A149" s="17"/>
      <c r="B149" s="39" t="s">
        <v>184</v>
      </c>
      <c r="C149" s="368"/>
      <c r="D149" s="368"/>
      <c r="E149" s="228"/>
      <c r="F149" s="17"/>
    </row>
    <row r="150" spans="1:7" x14ac:dyDescent="0.2">
      <c r="A150" s="17"/>
      <c r="B150" s="293" t="s">
        <v>185</v>
      </c>
      <c r="C150" s="158"/>
      <c r="D150" s="17"/>
      <c r="E150" s="1224" t="s">
        <v>186</v>
      </c>
      <c r="F150" s="17"/>
    </row>
    <row r="151" spans="1:7" x14ac:dyDescent="0.2">
      <c r="A151" s="17"/>
      <c r="B151" s="299" t="s">
        <v>187</v>
      </c>
      <c r="C151" s="140"/>
      <c r="D151" s="17"/>
      <c r="E151" s="1225" t="s">
        <v>186</v>
      </c>
      <c r="F151" s="17"/>
    </row>
    <row r="152" spans="1:7" x14ac:dyDescent="0.2">
      <c r="A152" s="17"/>
      <c r="B152" s="299" t="s">
        <v>188</v>
      </c>
      <c r="C152" s="140"/>
      <c r="D152" s="17"/>
      <c r="E152" s="661"/>
      <c r="F152" s="17"/>
    </row>
    <row r="153" spans="1:7" x14ac:dyDescent="0.2">
      <c r="A153" s="17"/>
      <c r="B153" s="299" t="s">
        <v>189</v>
      </c>
      <c r="C153" s="140"/>
      <c r="D153" s="17"/>
      <c r="E153" s="661"/>
      <c r="F153" s="17"/>
    </row>
    <row r="154" spans="1:7" ht="15" x14ac:dyDescent="0.25">
      <c r="A154" s="9"/>
      <c r="B154" s="131"/>
      <c r="C154" s="1215"/>
      <c r="D154" s="1226"/>
      <c r="E154" s="1227"/>
      <c r="F154" s="9"/>
    </row>
    <row r="155" spans="1:7" x14ac:dyDescent="0.2">
      <c r="A155" s="9"/>
      <c r="B155" s="9"/>
      <c r="C155" s="9"/>
      <c r="D155" s="9"/>
      <c r="E155" s="9"/>
      <c r="F155" s="9"/>
    </row>
    <row r="158" spans="1:7" x14ac:dyDescent="0.2">
      <c r="A158" s="9"/>
      <c r="B158" s="9"/>
      <c r="C158" s="9"/>
      <c r="D158" s="9"/>
      <c r="E158" s="9"/>
      <c r="F158" s="9"/>
    </row>
    <row r="159" spans="1:7" x14ac:dyDescent="0.2">
      <c r="A159" s="9" t="s">
        <v>315</v>
      </c>
      <c r="B159" s="9"/>
      <c r="C159" s="9"/>
      <c r="D159" s="9"/>
      <c r="E159" s="9"/>
      <c r="F159" s="9"/>
    </row>
    <row r="160" spans="1:7" x14ac:dyDescent="0.2">
      <c r="A160" s="659" t="s">
        <v>112</v>
      </c>
      <c r="B160" s="659" t="s">
        <v>113</v>
      </c>
      <c r="C160" s="659" t="s">
        <v>316</v>
      </c>
      <c r="D160" s="659" t="s">
        <v>348</v>
      </c>
      <c r="E160" s="9"/>
      <c r="F160" s="9"/>
    </row>
    <row r="161" spans="1:6" x14ac:dyDescent="0.2">
      <c r="A161" s="281">
        <v>1</v>
      </c>
      <c r="B161" s="679" t="s">
        <v>320</v>
      </c>
      <c r="C161" s="281">
        <v>10</v>
      </c>
      <c r="D161" s="281">
        <v>20.16</v>
      </c>
      <c r="E161" s="659">
        <v>115.338461538462</v>
      </c>
      <c r="F161" s="9"/>
    </row>
    <row r="162" spans="1:6" x14ac:dyDescent="0.2">
      <c r="A162" s="281">
        <v>2</v>
      </c>
      <c r="B162" s="659" t="s">
        <v>321</v>
      </c>
      <c r="C162" s="281">
        <v>2</v>
      </c>
      <c r="D162" s="281">
        <v>17.64</v>
      </c>
      <c r="E162" s="659">
        <v>20.184230769230801</v>
      </c>
      <c r="F162" s="9"/>
    </row>
    <row r="163" spans="1:6" x14ac:dyDescent="0.2">
      <c r="A163" s="281">
        <v>3</v>
      </c>
      <c r="B163" s="679" t="s">
        <v>117</v>
      </c>
      <c r="C163" s="281">
        <v>150</v>
      </c>
      <c r="D163" s="281">
        <v>36.119999999999997</v>
      </c>
      <c r="E163" s="659">
        <v>3099.7211538461502</v>
      </c>
      <c r="F163" s="9"/>
    </row>
    <row r="164" spans="1:6" x14ac:dyDescent="0.2">
      <c r="A164" s="281">
        <v>4</v>
      </c>
      <c r="B164" s="679" t="s">
        <v>118</v>
      </c>
      <c r="C164" s="281">
        <v>35</v>
      </c>
      <c r="D164" s="281">
        <v>21.84</v>
      </c>
      <c r="E164" s="659">
        <v>437.32499999999999</v>
      </c>
      <c r="F164" s="9"/>
    </row>
    <row r="165" spans="1:6" x14ac:dyDescent="0.2">
      <c r="A165" s="281">
        <v>5</v>
      </c>
      <c r="B165" s="679" t="s">
        <v>120</v>
      </c>
      <c r="C165" s="281">
        <v>3</v>
      </c>
      <c r="D165" s="281">
        <v>13.44</v>
      </c>
      <c r="E165" s="659">
        <v>23.067692307692301</v>
      </c>
      <c r="F165" s="9"/>
    </row>
    <row r="166" spans="1:6" x14ac:dyDescent="0.2">
      <c r="A166" s="281">
        <v>6</v>
      </c>
      <c r="B166" s="679" t="s">
        <v>122</v>
      </c>
      <c r="C166" s="281">
        <v>3</v>
      </c>
      <c r="D166" s="281">
        <v>13.44</v>
      </c>
      <c r="E166" s="659">
        <v>23.067692307692301</v>
      </c>
      <c r="F166" s="9"/>
    </row>
    <row r="167" spans="1:6" x14ac:dyDescent="0.2">
      <c r="A167" s="281">
        <v>7</v>
      </c>
      <c r="B167" s="679" t="s">
        <v>327</v>
      </c>
      <c r="C167" s="281">
        <v>4</v>
      </c>
      <c r="D167" s="281">
        <v>11.76</v>
      </c>
      <c r="E167" s="659">
        <v>26.912307692307699</v>
      </c>
      <c r="F167" s="17"/>
    </row>
    <row r="168" spans="1:6" x14ac:dyDescent="0.2">
      <c r="A168" s="281">
        <v>8</v>
      </c>
      <c r="B168" s="679" t="s">
        <v>328</v>
      </c>
      <c r="C168" s="281">
        <v>1</v>
      </c>
      <c r="D168" s="281">
        <v>11.76</v>
      </c>
      <c r="E168" s="659">
        <v>6.7280769230769204</v>
      </c>
      <c r="F168" s="17"/>
    </row>
    <row r="169" spans="1:6" x14ac:dyDescent="0.2">
      <c r="A169" s="9"/>
      <c r="B169" s="9"/>
      <c r="C169" s="9">
        <v>208</v>
      </c>
      <c r="D169" s="9"/>
      <c r="E169" s="9">
        <v>3752.3446153846198</v>
      </c>
      <c r="F169" s="17"/>
    </row>
    <row r="170" spans="1:6" x14ac:dyDescent="0.2">
      <c r="A170" s="17"/>
      <c r="B170" s="17"/>
      <c r="C170" s="17"/>
      <c r="D170" s="17"/>
      <c r="E170" s="17"/>
      <c r="F170" s="17"/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9" r:id="rId3" name="Button 6">
              <controlPr defaultSize="0" autoPict="0" macro="Module5.Macro3">
                <anchor moveWithCells="1" sizeWithCells="1">
                  <from>
                    <xdr:col>3</xdr:col>
                    <xdr:colOff>133350</xdr:colOff>
                    <xdr:row>128</xdr:row>
                    <xdr:rowOff>114300</xdr:rowOff>
                  </from>
                  <to>
                    <xdr:col>4</xdr:col>
                    <xdr:colOff>85725</xdr:colOff>
                    <xdr:row>130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4" name="Button 8">
              <controlPr defaultSize="0" autoPict="0" macro="Module5.Macro3">
                <anchor moveWithCells="1" sizeWithCells="1">
                  <from>
                    <xdr:col>3</xdr:col>
                    <xdr:colOff>238125</xdr:colOff>
                    <xdr:row>109</xdr:row>
                    <xdr:rowOff>171450</xdr:rowOff>
                  </from>
                  <to>
                    <xdr:col>4</xdr:col>
                    <xdr:colOff>38100</xdr:colOff>
                    <xdr:row>111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7" r:id="rId5" name="Button 9">
              <controlPr defaultSize="0" autoPict="0" macro="Module5.Macro3">
                <anchor moveWithCells="1" sizeWithCells="1">
                  <from>
                    <xdr:col>2</xdr:col>
                    <xdr:colOff>142875</xdr:colOff>
                    <xdr:row>151</xdr:row>
                    <xdr:rowOff>104775</xdr:rowOff>
                  </from>
                  <to>
                    <xdr:col>3</xdr:col>
                    <xdr:colOff>247650</xdr:colOff>
                    <xdr:row>153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6" name="Button 6">
              <controlPr defaultSize="0" print="0" autoFill="0" autoPict="0" macro="Module5.Macro3" altText="OK">
                <anchor moveWithCells="1">
                  <from>
                    <xdr:col>3</xdr:col>
                    <xdr:colOff>133350</xdr:colOff>
                    <xdr:row>128</xdr:row>
                    <xdr:rowOff>114300</xdr:rowOff>
                  </from>
                  <to>
                    <xdr:col>4</xdr:col>
                    <xdr:colOff>-85725</xdr:colOff>
                    <xdr:row>130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7" name="Button 8">
              <controlPr defaultSize="0" print="0" autoFill="0" autoPict="0" macro="Module5.Macro3" altText="OK">
                <anchor moveWithCells="1">
                  <from>
                    <xdr:col>3</xdr:col>
                    <xdr:colOff>238125</xdr:colOff>
                    <xdr:row>109</xdr:row>
                    <xdr:rowOff>171450</xdr:rowOff>
                  </from>
                  <to>
                    <xdr:col>4</xdr:col>
                    <xdr:colOff>38100</xdr:colOff>
                    <xdr:row>111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2" r:id="rId8" name="Button 9">
              <controlPr defaultSize="0" print="0" autoFill="0" autoPict="0" macro="Module5.Macro3" altText="OK">
                <anchor moveWithCells="1">
                  <from>
                    <xdr:col>2</xdr:col>
                    <xdr:colOff>142875</xdr:colOff>
                    <xdr:row>151</xdr:row>
                    <xdr:rowOff>104775</xdr:rowOff>
                  </from>
                  <to>
                    <xdr:col>3</xdr:col>
                    <xdr:colOff>-247650</xdr:colOff>
                    <xdr:row>153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X178"/>
  <sheetViews>
    <sheetView zoomScaleNormal="100" workbookViewId="0"/>
  </sheetViews>
  <sheetFormatPr defaultColWidth="11.5703125" defaultRowHeight="12.75" customHeight="1" x14ac:dyDescent="0.2"/>
  <sheetData>
    <row r="1" spans="1:50" ht="15" x14ac:dyDescent="0.25">
      <c r="A1" s="17"/>
      <c r="B1" s="645" t="s">
        <v>242</v>
      </c>
      <c r="C1" s="9">
        <v>22</v>
      </c>
      <c r="D1" s="17"/>
      <c r="E1" s="17"/>
      <c r="F1" s="17"/>
      <c r="G1" s="712" t="s">
        <v>383</v>
      </c>
      <c r="H1" s="17"/>
      <c r="I1" s="17"/>
      <c r="J1" s="17"/>
      <c r="K1" s="17"/>
      <c r="L1" s="17"/>
      <c r="M1" s="17"/>
      <c r="N1" s="9"/>
      <c r="O1" s="647"/>
      <c r="P1" s="9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</row>
    <row r="2" spans="1:50" x14ac:dyDescent="0.2">
      <c r="A2" s="17"/>
      <c r="B2" s="417" t="s">
        <v>243</v>
      </c>
      <c r="C2" s="9">
        <v>15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 t="s">
        <v>201</v>
      </c>
      <c r="AH2" s="17" t="s">
        <v>202</v>
      </c>
      <c r="AI2" s="17" t="s">
        <v>206</v>
      </c>
      <c r="AJ2" s="17" t="s">
        <v>207</v>
      </c>
      <c r="AK2" s="17" t="s">
        <v>208</v>
      </c>
      <c r="AL2" s="17" t="s">
        <v>209</v>
      </c>
      <c r="AM2" s="17" t="s">
        <v>210</v>
      </c>
      <c r="AN2" s="17" t="s">
        <v>211</v>
      </c>
      <c r="AO2" s="17"/>
      <c r="AP2" s="17"/>
      <c r="AQ2" s="17"/>
      <c r="AR2" s="17"/>
      <c r="AS2" s="17" t="s">
        <v>384</v>
      </c>
      <c r="AT2" s="17"/>
      <c r="AU2" s="17" t="s">
        <v>214</v>
      </c>
      <c r="AV2" s="17"/>
      <c r="AW2" s="17" t="s">
        <v>384</v>
      </c>
    </row>
    <row r="3" spans="1:50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>
        <v>0</v>
      </c>
      <c r="AE3" s="17">
        <v>0</v>
      </c>
      <c r="AF3" s="17">
        <v>0</v>
      </c>
      <c r="AG3" s="9">
        <v>440.15551710899803</v>
      </c>
      <c r="AH3" s="17">
        <v>0</v>
      </c>
      <c r="AI3" s="400">
        <v>180</v>
      </c>
      <c r="AJ3" s="17">
        <v>0</v>
      </c>
      <c r="AK3" s="400">
        <v>180</v>
      </c>
      <c r="AL3" s="17">
        <v>1</v>
      </c>
      <c r="AM3" s="17">
        <v>0</v>
      </c>
      <c r="AN3" s="17">
        <v>0</v>
      </c>
      <c r="AO3" s="17"/>
      <c r="AP3" s="17"/>
      <c r="AQ3" s="17">
        <v>104.976978788303</v>
      </c>
      <c r="AR3" s="17"/>
      <c r="AS3" s="17"/>
      <c r="AT3" s="17"/>
      <c r="AU3" s="17">
        <v>121.567704738781</v>
      </c>
      <c r="AV3" s="17">
        <v>3300</v>
      </c>
      <c r="AW3" s="17">
        <v>71.135037802983504</v>
      </c>
      <c r="AX3">
        <v>8.6500488461917406</v>
      </c>
    </row>
    <row r="4" spans="1:50" ht="15" x14ac:dyDescent="0.25">
      <c r="A4" s="17"/>
      <c r="B4" s="645" t="s">
        <v>242</v>
      </c>
      <c r="C4" s="646">
        <v>22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>
        <v>0</v>
      </c>
      <c r="AD4" s="17">
        <v>0.43793364690598902</v>
      </c>
      <c r="AE4" s="66">
        <v>1</v>
      </c>
      <c r="AF4" s="102">
        <v>0</v>
      </c>
      <c r="AG4" s="9">
        <v>0</v>
      </c>
      <c r="AH4" s="9">
        <v>0</v>
      </c>
      <c r="AI4" s="17">
        <v>0</v>
      </c>
      <c r="AJ4" s="17">
        <v>0</v>
      </c>
      <c r="AK4" s="17">
        <v>0</v>
      </c>
      <c r="AL4" s="17">
        <v>0</v>
      </c>
      <c r="AM4" s="17">
        <v>0</v>
      </c>
      <c r="AN4" s="17">
        <v>0</v>
      </c>
      <c r="AO4" s="17"/>
      <c r="AP4" s="17"/>
      <c r="AQ4" s="17">
        <v>103.69777584940501</v>
      </c>
      <c r="AR4" s="17"/>
      <c r="AS4" s="17">
        <v>0</v>
      </c>
      <c r="AT4" s="17"/>
      <c r="AU4" s="17">
        <v>109.969259891365</v>
      </c>
      <c r="AV4" s="17">
        <v>3220</v>
      </c>
      <c r="AW4" s="17">
        <v>0</v>
      </c>
      <c r="AX4">
        <v>18.9387572569204</v>
      </c>
    </row>
    <row r="5" spans="1:50" ht="15" x14ac:dyDescent="0.25">
      <c r="A5" s="17"/>
      <c r="B5" s="417" t="s">
        <v>243</v>
      </c>
      <c r="C5" s="675">
        <v>15</v>
      </c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>
        <v>0</v>
      </c>
      <c r="AD5" s="17">
        <v>0.80838760384542796</v>
      </c>
      <c r="AE5" s="17">
        <v>2</v>
      </c>
      <c r="AF5" s="102">
        <v>0</v>
      </c>
      <c r="AG5" s="9">
        <v>0</v>
      </c>
      <c r="AH5" s="9">
        <v>0</v>
      </c>
      <c r="AI5" s="17">
        <v>0</v>
      </c>
      <c r="AJ5" s="17">
        <v>0</v>
      </c>
      <c r="AK5" s="17">
        <v>0</v>
      </c>
      <c r="AL5" s="17">
        <v>0</v>
      </c>
      <c r="AM5" s="17">
        <v>0</v>
      </c>
      <c r="AN5" s="17">
        <v>0</v>
      </c>
      <c r="AO5" s="17"/>
      <c r="AP5" s="17"/>
      <c r="AQ5" s="17">
        <v>102.40259448230201</v>
      </c>
      <c r="AR5" s="17"/>
      <c r="AS5" s="17">
        <v>0</v>
      </c>
      <c r="AT5" s="17"/>
      <c r="AU5" s="17">
        <v>60.282764292054097</v>
      </c>
      <c r="AV5" s="17">
        <v>3140</v>
      </c>
      <c r="AW5" s="17">
        <v>0</v>
      </c>
      <c r="AX5">
        <v>21.6726158906644</v>
      </c>
    </row>
    <row r="6" spans="1:50" ht="15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>
        <v>0</v>
      </c>
      <c r="AD6" s="17">
        <v>1.70372816680459</v>
      </c>
      <c r="AE6" s="17">
        <v>5</v>
      </c>
      <c r="AF6" s="102">
        <v>0</v>
      </c>
      <c r="AG6" s="9">
        <v>0</v>
      </c>
      <c r="AH6" s="9">
        <v>0</v>
      </c>
      <c r="AI6" s="17">
        <v>0</v>
      </c>
      <c r="AJ6" s="17">
        <v>0</v>
      </c>
      <c r="AK6" s="17">
        <v>0</v>
      </c>
      <c r="AL6" s="17">
        <v>0</v>
      </c>
      <c r="AM6" s="17">
        <v>0</v>
      </c>
      <c r="AN6" s="17">
        <v>0</v>
      </c>
      <c r="AO6" s="17"/>
      <c r="AP6" s="17"/>
      <c r="AQ6" s="17">
        <v>101.090820539257</v>
      </c>
      <c r="AR6" s="17"/>
      <c r="AS6" s="17">
        <v>0</v>
      </c>
      <c r="AT6" s="17"/>
      <c r="AU6" s="17">
        <v>59.158585471352303</v>
      </c>
      <c r="AV6" s="17">
        <v>3060</v>
      </c>
      <c r="AW6" s="17">
        <v>0</v>
      </c>
      <c r="AX6">
        <v>21.774398991586398</v>
      </c>
    </row>
    <row r="7" spans="1:50" ht="15" x14ac:dyDescent="0.25">
      <c r="A7" s="17"/>
      <c r="B7" s="265"/>
      <c r="C7" s="649" t="s">
        <v>337</v>
      </c>
      <c r="D7" s="650">
        <v>0.128</v>
      </c>
      <c r="E7" s="650">
        <v>0.56100000000000005</v>
      </c>
      <c r="F7" s="651">
        <v>0.56999999999999995</v>
      </c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>
        <v>0</v>
      </c>
      <c r="AD7" s="17">
        <v>2.8409921159988798</v>
      </c>
      <c r="AE7" s="17">
        <v>10</v>
      </c>
      <c r="AF7" s="102">
        <v>0</v>
      </c>
      <c r="AG7" s="9">
        <v>0</v>
      </c>
      <c r="AH7" s="9">
        <v>0</v>
      </c>
      <c r="AI7" s="17">
        <v>0</v>
      </c>
      <c r="AJ7" s="17">
        <v>0</v>
      </c>
      <c r="AK7" s="17">
        <v>0</v>
      </c>
      <c r="AL7" s="17">
        <v>0</v>
      </c>
      <c r="AM7" s="17">
        <v>0</v>
      </c>
      <c r="AN7" s="17">
        <v>0</v>
      </c>
      <c r="AO7" s="17"/>
      <c r="AP7" s="17"/>
      <c r="AQ7" s="17">
        <v>99.7617994920586</v>
      </c>
      <c r="AR7" s="17"/>
      <c r="AS7" s="17">
        <v>0</v>
      </c>
      <c r="AT7" s="17"/>
      <c r="AU7" s="17">
        <v>58.012626205432603</v>
      </c>
      <c r="AV7" s="17">
        <v>2980</v>
      </c>
      <c r="AW7" s="17">
        <v>0</v>
      </c>
      <c r="AX7">
        <v>21.880373915738499</v>
      </c>
    </row>
    <row r="8" spans="1:50" ht="15" x14ac:dyDescent="0.25">
      <c r="A8" s="17"/>
      <c r="B8" s="265"/>
      <c r="C8" s="648"/>
      <c r="D8" s="9">
        <v>0.128</v>
      </c>
      <c r="E8" s="9">
        <v>0.56100000000000005</v>
      </c>
      <c r="F8" s="9">
        <v>0.56699999999999995</v>
      </c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>
        <v>0</v>
      </c>
      <c r="AD8" s="17">
        <v>4.5475498726108698</v>
      </c>
      <c r="AE8" s="17">
        <v>20</v>
      </c>
      <c r="AF8" s="102">
        <v>0</v>
      </c>
      <c r="AG8" s="9">
        <v>0</v>
      </c>
      <c r="AH8" s="9">
        <v>0</v>
      </c>
      <c r="AI8" s="17">
        <v>0</v>
      </c>
      <c r="AJ8" s="17">
        <v>0</v>
      </c>
      <c r="AK8" s="17">
        <v>0</v>
      </c>
      <c r="AL8" s="17">
        <v>0</v>
      </c>
      <c r="AM8" s="17">
        <v>0</v>
      </c>
      <c r="AN8" s="17">
        <v>0</v>
      </c>
      <c r="AO8" s="17"/>
      <c r="AP8" s="17"/>
      <c r="AQ8" s="17">
        <v>98.414832614231301</v>
      </c>
      <c r="AR8" s="17"/>
      <c r="AS8" s="17">
        <v>0</v>
      </c>
      <c r="AT8" s="17"/>
      <c r="AU8" s="17">
        <v>56.843569236380603</v>
      </c>
      <c r="AV8" s="17">
        <v>2900</v>
      </c>
      <c r="AW8" s="17">
        <v>0</v>
      </c>
      <c r="AX8">
        <v>21.990820083394901</v>
      </c>
    </row>
    <row r="9" spans="1:50" ht="15" x14ac:dyDescent="0.25">
      <c r="A9" s="17"/>
      <c r="B9" s="101" t="s">
        <v>34</v>
      </c>
      <c r="C9" s="102" t="s">
        <v>12</v>
      </c>
      <c r="D9" s="102"/>
      <c r="E9" s="652"/>
      <c r="F9" s="652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>
        <v>0</v>
      </c>
      <c r="AD9" s="17">
        <v>5.8933905263511397</v>
      </c>
      <c r="AE9" s="17">
        <v>30</v>
      </c>
      <c r="AF9" s="102">
        <v>0</v>
      </c>
      <c r="AG9" s="9">
        <v>0</v>
      </c>
      <c r="AH9" s="9">
        <v>0</v>
      </c>
      <c r="AI9" s="17">
        <v>0</v>
      </c>
      <c r="AJ9" s="17">
        <v>0</v>
      </c>
      <c r="AK9" s="17">
        <v>0</v>
      </c>
      <c r="AL9" s="17">
        <v>0</v>
      </c>
      <c r="AM9" s="17">
        <v>0</v>
      </c>
      <c r="AN9" s="17">
        <v>0</v>
      </c>
      <c r="AO9" s="17"/>
      <c r="AP9" s="17"/>
      <c r="AQ9" s="17">
        <v>97.049172686224495</v>
      </c>
      <c r="AR9" s="17"/>
      <c r="AS9" s="17">
        <v>0</v>
      </c>
      <c r="AT9" s="17"/>
      <c r="AU9" s="17">
        <v>55.649958920120902</v>
      </c>
      <c r="AV9" s="17">
        <v>2820</v>
      </c>
      <c r="AW9" s="17">
        <v>0</v>
      </c>
      <c r="AX9">
        <v>22.1060475601425</v>
      </c>
    </row>
    <row r="10" spans="1:50" ht="15" x14ac:dyDescent="0.25">
      <c r="A10" s="17"/>
      <c r="B10" s="17"/>
      <c r="C10" s="17"/>
      <c r="D10" s="17"/>
      <c r="E10" s="17"/>
      <c r="F10" s="17">
        <v>8.2079343365253106</v>
      </c>
      <c r="G10" s="17"/>
      <c r="H10" s="17"/>
      <c r="I10" s="17"/>
      <c r="J10" s="17"/>
      <c r="K10" s="17"/>
      <c r="L10" s="17"/>
      <c r="M10" s="17"/>
      <c r="N10" s="563" t="s">
        <v>248</v>
      </c>
      <c r="O10" s="564" t="s">
        <v>263</v>
      </c>
      <c r="P10" s="565" t="s">
        <v>264</v>
      </c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>
        <v>0</v>
      </c>
      <c r="AD10" s="17">
        <v>6.4866492996394998</v>
      </c>
      <c r="AE10" s="17">
        <v>35</v>
      </c>
      <c r="AF10" s="102">
        <v>0</v>
      </c>
      <c r="AG10" s="9">
        <v>0</v>
      </c>
      <c r="AH10" s="9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0</v>
      </c>
      <c r="AN10" s="17">
        <v>0</v>
      </c>
      <c r="AO10" s="17"/>
      <c r="AP10" s="17"/>
      <c r="AQ10" s="17">
        <v>95.664019148654305</v>
      </c>
      <c r="AR10" s="17"/>
      <c r="AS10" s="17">
        <v>0</v>
      </c>
      <c r="AT10" s="17"/>
      <c r="AU10" s="17">
        <v>54.430179974818202</v>
      </c>
      <c r="AV10" s="17">
        <v>2740</v>
      </c>
      <c r="AW10" s="17">
        <v>0</v>
      </c>
      <c r="AX10">
        <v>22.2264015874404</v>
      </c>
    </row>
    <row r="11" spans="1:50" ht="15" x14ac:dyDescent="0.25">
      <c r="A11" s="9"/>
      <c r="B11" s="9" t="s">
        <v>21</v>
      </c>
      <c r="C11" s="9"/>
      <c r="D11" s="9">
        <v>7690.8</v>
      </c>
      <c r="E11" s="9" t="s">
        <v>253</v>
      </c>
      <c r="F11" s="9"/>
      <c r="G11" s="9"/>
      <c r="H11" s="9"/>
      <c r="I11" s="9"/>
      <c r="J11" s="9"/>
      <c r="K11" s="17"/>
      <c r="L11" s="17"/>
      <c r="M11" s="17"/>
      <c r="N11" s="567">
        <v>4.4999999999999998E-2</v>
      </c>
      <c r="O11" s="568">
        <v>57.15</v>
      </c>
      <c r="P11" s="569">
        <f>N22</f>
        <v>11551.068390844301</v>
      </c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>
        <v>0</v>
      </c>
      <c r="AD11" s="17">
        <v>7.5633896188660499</v>
      </c>
      <c r="AE11" s="17">
        <v>45</v>
      </c>
      <c r="AF11" s="102">
        <v>0</v>
      </c>
      <c r="AG11" s="9">
        <v>0</v>
      </c>
      <c r="AH11" s="9">
        <v>0</v>
      </c>
      <c r="AI11" s="17">
        <v>0</v>
      </c>
      <c r="AJ11" s="17">
        <v>0</v>
      </c>
      <c r="AK11" s="17">
        <v>0</v>
      </c>
      <c r="AL11" s="17">
        <v>0</v>
      </c>
      <c r="AM11" s="17">
        <v>0</v>
      </c>
      <c r="AN11" s="17">
        <v>0</v>
      </c>
      <c r="AO11" s="17"/>
      <c r="AP11" s="17"/>
      <c r="AQ11" s="17">
        <v>94.258512614339196</v>
      </c>
      <c r="AR11" s="17"/>
      <c r="AS11" s="17">
        <v>0</v>
      </c>
      <c r="AT11" s="17"/>
      <c r="AU11" s="17">
        <v>53.182431839575102</v>
      </c>
      <c r="AV11" s="17">
        <v>2660</v>
      </c>
      <c r="AW11" s="17">
        <v>0</v>
      </c>
      <c r="AX11">
        <v>22.3522691811492</v>
      </c>
    </row>
    <row r="12" spans="1:50" ht="15" x14ac:dyDescent="0.25">
      <c r="A12" s="17"/>
      <c r="B12" s="9" t="s">
        <v>256</v>
      </c>
      <c r="C12" s="9"/>
      <c r="D12" s="9">
        <v>10.0267379679144</v>
      </c>
      <c r="E12" s="9" t="s">
        <v>257</v>
      </c>
      <c r="F12" s="9">
        <v>17.647058823529399</v>
      </c>
      <c r="G12" s="9" t="s">
        <v>258</v>
      </c>
      <c r="H12" s="17"/>
      <c r="I12" s="17"/>
      <c r="J12" s="17"/>
      <c r="K12" s="17"/>
      <c r="L12" s="17"/>
      <c r="M12" s="17"/>
      <c r="N12" s="567">
        <v>4.4999999999999998E-2</v>
      </c>
      <c r="O12" s="568">
        <v>108.58499999999999</v>
      </c>
      <c r="P12" s="569">
        <f>N23</f>
        <v>2632.5580383259198</v>
      </c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>
        <v>0</v>
      </c>
      <c r="AD12" s="17">
        <v>8.5306042404696907</v>
      </c>
      <c r="AE12" s="17">
        <v>55</v>
      </c>
      <c r="AF12" s="102">
        <v>0</v>
      </c>
      <c r="AG12" s="9">
        <v>0</v>
      </c>
      <c r="AH12" s="9">
        <v>0</v>
      </c>
      <c r="AI12" s="17">
        <v>0</v>
      </c>
      <c r="AJ12" s="17">
        <v>0</v>
      </c>
      <c r="AK12" s="17">
        <v>0</v>
      </c>
      <c r="AL12" s="17">
        <v>0</v>
      </c>
      <c r="AM12" s="17">
        <v>0</v>
      </c>
      <c r="AN12" s="17">
        <v>0</v>
      </c>
      <c r="AO12" s="17"/>
      <c r="AP12" s="17"/>
      <c r="AQ12" s="17">
        <v>92.831728632300099</v>
      </c>
      <c r="AR12" s="17"/>
      <c r="AS12" s="17">
        <v>0</v>
      </c>
      <c r="AT12" s="17"/>
      <c r="AU12" s="17">
        <v>51.904697481547799</v>
      </c>
      <c r="AV12" s="17">
        <v>2580</v>
      </c>
      <c r="AW12" s="17">
        <v>0</v>
      </c>
      <c r="AX12">
        <v>22.484086489505799</v>
      </c>
    </row>
    <row r="13" spans="1:50" ht="15" x14ac:dyDescent="0.25">
      <c r="A13" s="17"/>
      <c r="B13" s="9" t="s">
        <v>259</v>
      </c>
      <c r="C13" s="9"/>
      <c r="D13" s="9">
        <v>1607.1457219251299</v>
      </c>
      <c r="E13" s="9" t="s">
        <v>260</v>
      </c>
      <c r="F13" s="9">
        <v>6.0350394389827304</v>
      </c>
      <c r="G13" s="9" t="s">
        <v>261</v>
      </c>
      <c r="H13" s="17"/>
      <c r="I13" s="17"/>
      <c r="J13" s="17"/>
      <c r="K13" s="17"/>
      <c r="L13" s="17"/>
      <c r="M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>
        <v>0</v>
      </c>
      <c r="AD13" s="17">
        <v>9.4161653078676792</v>
      </c>
      <c r="AE13" s="17">
        <v>65</v>
      </c>
      <c r="AF13" s="102">
        <v>0</v>
      </c>
      <c r="AG13" s="9">
        <v>0</v>
      </c>
      <c r="AH13" s="9">
        <v>0</v>
      </c>
      <c r="AI13" s="17">
        <v>0</v>
      </c>
      <c r="AJ13" s="17">
        <v>0</v>
      </c>
      <c r="AK13" s="17">
        <v>0</v>
      </c>
      <c r="AL13" s="17">
        <v>0</v>
      </c>
      <c r="AM13" s="17">
        <v>0</v>
      </c>
      <c r="AN13" s="17">
        <v>0</v>
      </c>
      <c r="AO13" s="17"/>
      <c r="AP13" s="17"/>
      <c r="AQ13" s="17">
        <v>91.382670575194197</v>
      </c>
      <c r="AR13" s="17"/>
      <c r="AS13" s="17">
        <v>0</v>
      </c>
      <c r="AT13" s="17"/>
      <c r="AU13" s="17">
        <v>50.594705107658697</v>
      </c>
      <c r="AV13" s="17">
        <v>2500</v>
      </c>
      <c r="AW13" s="17">
        <v>0</v>
      </c>
      <c r="AX13">
        <v>22.622347415915101</v>
      </c>
    </row>
    <row r="14" spans="1:50" ht="15" x14ac:dyDescent="0.25">
      <c r="A14" s="17"/>
      <c r="B14" s="9" t="s">
        <v>262</v>
      </c>
      <c r="C14" s="9"/>
      <c r="D14" s="9">
        <v>399.227281242549</v>
      </c>
      <c r="E14" s="9"/>
      <c r="F14" s="17"/>
      <c r="G14" s="17"/>
      <c r="H14" s="17"/>
      <c r="I14" s="17"/>
      <c r="J14" s="17"/>
      <c r="K14" s="17"/>
      <c r="L14" s="17"/>
      <c r="M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>
        <v>0</v>
      </c>
      <c r="AD14" s="17">
        <v>10.237811691790499</v>
      </c>
      <c r="AE14" s="17">
        <v>75</v>
      </c>
      <c r="AF14" s="102">
        <v>0</v>
      </c>
      <c r="AG14" s="9">
        <v>0</v>
      </c>
      <c r="AH14" s="9">
        <v>0</v>
      </c>
      <c r="AI14" s="17">
        <v>0</v>
      </c>
      <c r="AJ14" s="17">
        <v>0</v>
      </c>
      <c r="AK14" s="17">
        <v>0</v>
      </c>
      <c r="AL14" s="17">
        <v>0</v>
      </c>
      <c r="AM14" s="17">
        <v>0</v>
      </c>
      <c r="AN14" s="17">
        <v>0</v>
      </c>
      <c r="AO14" s="17"/>
      <c r="AP14" s="17"/>
      <c r="AQ14" s="17">
        <v>89.910261494714405</v>
      </c>
      <c r="AR14" s="17"/>
      <c r="AS14" s="17">
        <v>0</v>
      </c>
      <c r="AT14" s="17"/>
      <c r="AU14" s="17">
        <v>49.2498807025042</v>
      </c>
      <c r="AV14" s="17">
        <v>2420</v>
      </c>
      <c r="AW14" s="17">
        <v>0</v>
      </c>
      <c r="AX14">
        <v>22.767616348071101</v>
      </c>
    </row>
    <row r="15" spans="1:50" ht="15" x14ac:dyDescent="0.25">
      <c r="A15" s="17"/>
      <c r="B15" s="9" t="s">
        <v>265</v>
      </c>
      <c r="C15" s="9"/>
      <c r="D15" s="9"/>
      <c r="E15" s="9" t="s">
        <v>266</v>
      </c>
      <c r="F15" s="9">
        <v>36.152500000000003</v>
      </c>
      <c r="G15" s="9" t="s">
        <v>258</v>
      </c>
      <c r="H15" s="17"/>
      <c r="I15" s="17"/>
      <c r="J15" s="17"/>
      <c r="K15" s="17"/>
      <c r="L15" s="17"/>
      <c r="M15" s="17"/>
      <c r="Q15" s="570" t="s">
        <v>268</v>
      </c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>
        <v>0</v>
      </c>
      <c r="AD15" s="17">
        <v>11.007660807035499</v>
      </c>
      <c r="AE15" s="17">
        <v>85</v>
      </c>
      <c r="AF15" s="102">
        <v>0</v>
      </c>
      <c r="AG15" s="9">
        <v>0</v>
      </c>
      <c r="AH15" s="9">
        <v>0</v>
      </c>
      <c r="AI15" s="17">
        <v>0</v>
      </c>
      <c r="AJ15" s="17">
        <v>0</v>
      </c>
      <c r="AK15" s="17">
        <v>0</v>
      </c>
      <c r="AL15" s="17">
        <v>0</v>
      </c>
      <c r="AM15" s="17">
        <v>0</v>
      </c>
      <c r="AN15" s="17">
        <v>0</v>
      </c>
      <c r="AO15" s="17"/>
      <c r="AP15" s="17"/>
      <c r="AQ15" s="17">
        <v>88.413334755801202</v>
      </c>
      <c r="AR15" s="17"/>
      <c r="AS15" s="17">
        <v>0</v>
      </c>
      <c r="AT15" s="17"/>
      <c r="AU15" s="17">
        <v>47.867288553780099</v>
      </c>
      <c r="AV15" s="17">
        <v>2340</v>
      </c>
      <c r="AW15" s="17">
        <v>0</v>
      </c>
      <c r="AX15">
        <v>22.920541695790401</v>
      </c>
    </row>
    <row r="16" spans="1:50" ht="15" x14ac:dyDescent="0.25">
      <c r="A16" s="17"/>
      <c r="B16" s="9" t="s">
        <v>75</v>
      </c>
      <c r="C16" s="9"/>
      <c r="D16" s="9">
        <v>81.780159999999995</v>
      </c>
      <c r="E16" s="9" t="s">
        <v>266</v>
      </c>
      <c r="F16" s="9">
        <v>92.765486177499994</v>
      </c>
      <c r="G16" s="9" t="s">
        <v>261</v>
      </c>
      <c r="H16" s="17"/>
      <c r="I16" s="17"/>
      <c r="J16" s="17"/>
      <c r="K16" s="17"/>
      <c r="L16" s="9"/>
      <c r="M16" s="17"/>
      <c r="Q16" s="571">
        <f>IF(P11&lt;2500,16/P11,1/(-4*LOG(((N11/O11)/3.7065)-(5.0452/P11)*LOG((N11/O11)^1.1098/2.8257+(7.149/P11)^0.8981)))^2)</f>
        <v>7.7620815016897805E-3</v>
      </c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>
        <v>0</v>
      </c>
      <c r="AD16" s="17">
        <v>11.734425519039799</v>
      </c>
      <c r="AE16" s="17">
        <v>95</v>
      </c>
      <c r="AF16" s="102">
        <v>0</v>
      </c>
      <c r="AG16" s="9">
        <v>0</v>
      </c>
      <c r="AH16" s="9">
        <v>0</v>
      </c>
      <c r="AI16" s="17">
        <v>0</v>
      </c>
      <c r="AJ16" s="17">
        <v>0</v>
      </c>
      <c r="AK16" s="17">
        <v>0</v>
      </c>
      <c r="AL16" s="17">
        <v>0</v>
      </c>
      <c r="AM16" s="17">
        <v>0</v>
      </c>
      <c r="AN16" s="17">
        <v>0</v>
      </c>
      <c r="AO16" s="17"/>
      <c r="AP16" s="17"/>
      <c r="AQ16" s="17">
        <v>86.890623218128795</v>
      </c>
      <c r="AR16" s="17"/>
      <c r="AS16" s="17">
        <v>0</v>
      </c>
      <c r="AT16" s="17"/>
      <c r="AU16" s="17">
        <v>46.443555826086303</v>
      </c>
      <c r="AV16" s="17">
        <v>2260</v>
      </c>
      <c r="AW16" s="17">
        <v>0</v>
      </c>
      <c r="AX16">
        <v>23.081876226107099</v>
      </c>
    </row>
    <row r="17" spans="1:50" ht="15" x14ac:dyDescent="0.25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9"/>
      <c r="M17" s="17"/>
      <c r="N17" s="17"/>
      <c r="O17" s="17"/>
      <c r="P17" s="17"/>
      <c r="Q17" s="571">
        <f>IF(P12&lt;2500,16/P12,1/(-4*LOG(((N12/O12)/3.7065)-(5.0452/P12)*LOG((N12/O12)^1.1098/2.8257+(7.149/P12)^0.8981)))^2)</f>
        <v>1.1365289942409899E-2</v>
      </c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>
        <v>0</v>
      </c>
      <c r="AD17" s="17">
        <v>12.424619544557</v>
      </c>
      <c r="AE17" s="17">
        <v>105</v>
      </c>
      <c r="AF17" s="102">
        <v>0</v>
      </c>
      <c r="AG17" s="9">
        <v>0</v>
      </c>
      <c r="AH17" s="9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/>
      <c r="AP17" s="17"/>
      <c r="AQ17" s="17">
        <v>85.340746679580306</v>
      </c>
      <c r="AR17" s="17"/>
      <c r="AS17" s="17">
        <v>0</v>
      </c>
      <c r="AT17" s="17"/>
      <c r="AU17" s="17">
        <v>44.974775619793299</v>
      </c>
      <c r="AV17" s="17">
        <v>2180</v>
      </c>
      <c r="AW17" s="17">
        <v>0</v>
      </c>
      <c r="AX17">
        <v>23.2525006470741</v>
      </c>
    </row>
    <row r="18" spans="1:50" ht="15" x14ac:dyDescent="0.25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9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>
        <v>0</v>
      </c>
      <c r="AD18" s="17">
        <v>13.083264025812801</v>
      </c>
      <c r="AE18" s="17">
        <v>115</v>
      </c>
      <c r="AF18" s="102">
        <v>0</v>
      </c>
      <c r="AG18" s="9">
        <v>0</v>
      </c>
      <c r="AH18" s="9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0</v>
      </c>
      <c r="AN18" s="17">
        <v>0</v>
      </c>
      <c r="AO18" s="17"/>
      <c r="AP18" s="17"/>
      <c r="AQ18" s="17">
        <v>83.762197227757497</v>
      </c>
      <c r="AR18" s="17"/>
      <c r="AS18" s="17">
        <v>0</v>
      </c>
      <c r="AT18" s="17"/>
      <c r="AU18" s="17">
        <v>43.456380501955103</v>
      </c>
      <c r="AV18" s="17">
        <v>2100</v>
      </c>
      <c r="AW18" s="17">
        <v>0</v>
      </c>
      <c r="AX18">
        <v>23.433457213041201</v>
      </c>
    </row>
    <row r="19" spans="1:50" ht="15" x14ac:dyDescent="0.25">
      <c r="A19" s="9"/>
      <c r="B19" s="653" t="s">
        <v>264</v>
      </c>
      <c r="C19" s="654">
        <v>1187.5286019221201</v>
      </c>
      <c r="D19" s="654" t="s">
        <v>278</v>
      </c>
      <c r="E19" s="655" t="s">
        <v>270</v>
      </c>
      <c r="F19" s="654">
        <v>87.258057455540396</v>
      </c>
      <c r="G19" s="655" t="s">
        <v>271</v>
      </c>
      <c r="H19" s="656">
        <v>0</v>
      </c>
      <c r="I19" s="655" t="s">
        <v>272</v>
      </c>
      <c r="J19" s="657">
        <v>0</v>
      </c>
      <c r="K19" s="17"/>
      <c r="L19" s="645"/>
      <c r="M19" s="646" t="s">
        <v>273</v>
      </c>
      <c r="N19" s="431"/>
      <c r="O19" s="431" t="s">
        <v>274</v>
      </c>
      <c r="P19" s="431">
        <v>0.96</v>
      </c>
      <c r="Q19" s="431"/>
      <c r="R19" s="431"/>
      <c r="S19" s="686"/>
      <c r="T19" s="17"/>
      <c r="U19" s="17"/>
      <c r="V19" s="17"/>
      <c r="W19" s="17"/>
      <c r="X19" s="17"/>
      <c r="Y19" s="17"/>
      <c r="Z19" s="17"/>
      <c r="AA19" s="17"/>
      <c r="AB19" s="17"/>
      <c r="AC19" s="17">
        <v>0</v>
      </c>
      <c r="AD19" s="17">
        <v>13.7143265315298</v>
      </c>
      <c r="AE19" s="17">
        <v>125</v>
      </c>
      <c r="AF19" s="102">
        <v>0</v>
      </c>
      <c r="AG19" s="9">
        <v>0</v>
      </c>
      <c r="AH19" s="9">
        <v>0</v>
      </c>
      <c r="AI19" s="17">
        <v>0</v>
      </c>
      <c r="AJ19" s="17">
        <v>0</v>
      </c>
      <c r="AK19" s="17">
        <v>0</v>
      </c>
      <c r="AL19" s="17">
        <v>0</v>
      </c>
      <c r="AM19" s="17">
        <v>0</v>
      </c>
      <c r="AN19" s="17">
        <v>0</v>
      </c>
      <c r="AO19" s="17"/>
      <c r="AP19" s="17"/>
      <c r="AQ19" s="17">
        <v>82.153322057085504</v>
      </c>
      <c r="AR19" s="17"/>
      <c r="AS19" s="17">
        <v>0</v>
      </c>
      <c r="AT19" s="17"/>
      <c r="AU19" s="17">
        <v>41.882974710622598</v>
      </c>
      <c r="AV19" s="17">
        <v>2020</v>
      </c>
      <c r="AW19" s="17">
        <v>0</v>
      </c>
      <c r="AX19">
        <v>23.625994934575001</v>
      </c>
    </row>
    <row r="20" spans="1:50" ht="15" x14ac:dyDescent="0.25">
      <c r="A20" s="9"/>
      <c r="B20" s="658" t="s">
        <v>264</v>
      </c>
      <c r="C20" s="654">
        <v>1187.5286019221201</v>
      </c>
      <c r="D20" s="662" t="s">
        <v>278</v>
      </c>
      <c r="E20" s="659" t="s">
        <v>270</v>
      </c>
      <c r="F20" s="654">
        <v>0.12</v>
      </c>
      <c r="G20" s="659" t="s">
        <v>271</v>
      </c>
      <c r="H20" s="656">
        <v>0</v>
      </c>
      <c r="I20" s="659" t="s">
        <v>272</v>
      </c>
      <c r="J20" s="657">
        <v>0</v>
      </c>
      <c r="K20" s="9"/>
      <c r="L20" s="672"/>
      <c r="M20" s="9"/>
      <c r="N20" s="17"/>
      <c r="O20" s="17"/>
      <c r="P20" s="17"/>
      <c r="Q20" s="17"/>
      <c r="R20" s="17"/>
      <c r="S20" s="452"/>
      <c r="T20" s="17"/>
      <c r="U20" s="17"/>
      <c r="V20" s="17"/>
      <c r="W20" s="17"/>
      <c r="X20" s="17"/>
      <c r="Y20" s="17"/>
      <c r="Z20" s="17"/>
      <c r="AA20" s="17"/>
      <c r="AB20" s="17"/>
      <c r="AC20" s="17">
        <v>0</v>
      </c>
      <c r="AD20" s="17">
        <v>14.3210068012578</v>
      </c>
      <c r="AE20" s="17">
        <v>135</v>
      </c>
      <c r="AF20" s="102">
        <v>0</v>
      </c>
      <c r="AG20" s="9">
        <v>0</v>
      </c>
      <c r="AH20" s="9">
        <v>0</v>
      </c>
      <c r="AI20" s="17">
        <v>0</v>
      </c>
      <c r="AJ20" s="17">
        <v>0</v>
      </c>
      <c r="AK20" s="17">
        <v>0</v>
      </c>
      <c r="AL20" s="17">
        <v>0</v>
      </c>
      <c r="AM20" s="17">
        <v>0</v>
      </c>
      <c r="AN20" s="17">
        <v>0</v>
      </c>
      <c r="AO20" s="17"/>
      <c r="AP20" s="17"/>
      <c r="AQ20" s="17">
        <v>80.512303194037699</v>
      </c>
      <c r="AR20" s="17"/>
      <c r="AS20" s="17">
        <v>0</v>
      </c>
      <c r="AT20" s="17"/>
      <c r="AU20" s="17">
        <v>40.248107221217197</v>
      </c>
      <c r="AV20" s="17">
        <v>1940</v>
      </c>
      <c r="AW20" s="17">
        <v>0</v>
      </c>
      <c r="AX20">
        <v>23.694883303017601</v>
      </c>
    </row>
    <row r="21" spans="1:50" ht="15" x14ac:dyDescent="0.25">
      <c r="A21" s="9"/>
      <c r="B21" s="658" t="s">
        <v>264</v>
      </c>
      <c r="C21" s="654">
        <v>1187.5286019221201</v>
      </c>
      <c r="D21" s="662" t="s">
        <v>278</v>
      </c>
      <c r="E21" s="659" t="s">
        <v>270</v>
      </c>
      <c r="F21" s="654">
        <v>0.12</v>
      </c>
      <c r="G21" s="659" t="s">
        <v>271</v>
      </c>
      <c r="H21" s="656">
        <v>0</v>
      </c>
      <c r="I21" s="659" t="s">
        <v>272</v>
      </c>
      <c r="J21" s="657">
        <v>0</v>
      </c>
      <c r="K21" s="9"/>
      <c r="L21" s="672"/>
      <c r="M21" s="9" t="s">
        <v>276</v>
      </c>
      <c r="N21" s="17"/>
      <c r="O21" s="17"/>
      <c r="P21" s="17"/>
      <c r="Q21" s="17"/>
      <c r="R21" s="17"/>
      <c r="S21" s="452"/>
      <c r="T21" s="17"/>
      <c r="U21" s="17"/>
      <c r="V21" s="17"/>
      <c r="W21" s="17"/>
      <c r="X21" s="17"/>
      <c r="Y21" s="17"/>
      <c r="Z21" s="17"/>
      <c r="AA21" s="17"/>
      <c r="AB21" s="17"/>
      <c r="AC21" s="17">
        <v>0</v>
      </c>
      <c r="AD21" s="17">
        <v>14.905929955902099</v>
      </c>
      <c r="AE21" s="17">
        <v>145</v>
      </c>
      <c r="AF21" s="102">
        <v>0</v>
      </c>
      <c r="AG21" s="9">
        <v>0</v>
      </c>
      <c r="AH21" s="9">
        <v>0</v>
      </c>
      <c r="AI21" s="17">
        <v>0</v>
      </c>
      <c r="AJ21" s="17">
        <v>0</v>
      </c>
      <c r="AK21" s="17">
        <v>0</v>
      </c>
      <c r="AL21" s="17">
        <v>0</v>
      </c>
      <c r="AM21" s="17">
        <v>0</v>
      </c>
      <c r="AN21" s="17">
        <v>0</v>
      </c>
      <c r="AO21" s="17"/>
      <c r="AP21" s="17"/>
      <c r="AQ21" s="17">
        <v>78.837133422024706</v>
      </c>
      <c r="AR21" s="17"/>
      <c r="AS21" s="17">
        <v>0</v>
      </c>
      <c r="AT21" s="17"/>
      <c r="AU21" s="17">
        <v>38.543958011218201</v>
      </c>
      <c r="AV21" s="17">
        <v>1860</v>
      </c>
      <c r="AW21" s="17">
        <v>0</v>
      </c>
      <c r="AX21">
        <v>23.8975793147121</v>
      </c>
    </row>
    <row r="22" spans="1:50" ht="15" x14ac:dyDescent="0.25">
      <c r="A22" s="9"/>
      <c r="B22" s="658" t="s">
        <v>264</v>
      </c>
      <c r="C22" s="654">
        <v>1187.5286019221201</v>
      </c>
      <c r="D22" s="662" t="s">
        <v>278</v>
      </c>
      <c r="E22" s="659" t="s">
        <v>270</v>
      </c>
      <c r="F22" s="654">
        <v>0.12</v>
      </c>
      <c r="G22" s="659" t="s">
        <v>271</v>
      </c>
      <c r="H22" s="656">
        <v>0</v>
      </c>
      <c r="I22" s="659" t="s">
        <v>272</v>
      </c>
      <c r="J22" s="657">
        <v>0</v>
      </c>
      <c r="K22" s="9"/>
      <c r="L22" s="672" t="s">
        <v>277</v>
      </c>
      <c r="M22" s="9"/>
      <c r="N22" s="9">
        <v>11551.068390844301</v>
      </c>
      <c r="O22" s="17">
        <v>7.6202909334011698E-3</v>
      </c>
      <c r="P22" s="17">
        <v>288.22700448955902</v>
      </c>
      <c r="Q22" s="17" t="s">
        <v>22</v>
      </c>
      <c r="R22" s="17" t="s">
        <v>278</v>
      </c>
      <c r="S22" s="452">
        <v>0</v>
      </c>
      <c r="T22" s="17"/>
      <c r="U22" s="17"/>
      <c r="V22" s="17"/>
      <c r="W22" s="17"/>
      <c r="X22" s="17"/>
      <c r="Y22" s="17"/>
      <c r="Z22" s="17"/>
      <c r="AA22" s="17"/>
      <c r="AB22" s="17"/>
      <c r="AC22" s="17">
        <v>0</v>
      </c>
      <c r="AD22" s="17">
        <v>15.471281359449</v>
      </c>
      <c r="AE22" s="17">
        <v>155</v>
      </c>
      <c r="AF22" s="102">
        <v>0</v>
      </c>
      <c r="AG22" s="9">
        <v>0</v>
      </c>
      <c r="AH22" s="9">
        <v>0</v>
      </c>
      <c r="AI22" s="17">
        <v>0</v>
      </c>
      <c r="AJ22" s="17">
        <v>0</v>
      </c>
      <c r="AK22" s="17">
        <v>0</v>
      </c>
      <c r="AL22" s="17">
        <v>0</v>
      </c>
      <c r="AM22" s="17">
        <v>0</v>
      </c>
      <c r="AN22" s="17">
        <v>0</v>
      </c>
      <c r="AO22" s="17"/>
      <c r="AP22" s="17"/>
      <c r="AQ22" s="17">
        <v>77.125587497247494</v>
      </c>
      <c r="AR22" s="17"/>
      <c r="AS22" s="17">
        <v>0</v>
      </c>
      <c r="AT22" s="17"/>
      <c r="AU22" s="17">
        <v>36.760893126398599</v>
      </c>
      <c r="AV22" s="17">
        <v>1780</v>
      </c>
      <c r="AW22" s="17">
        <v>0</v>
      </c>
      <c r="AX22">
        <v>24.1142098387038</v>
      </c>
    </row>
    <row r="23" spans="1:50" ht="15" x14ac:dyDescent="0.25">
      <c r="A23" s="9"/>
      <c r="B23" s="658" t="s">
        <v>264</v>
      </c>
      <c r="C23" s="654">
        <v>1187.5286019221201</v>
      </c>
      <c r="D23" s="662" t="s">
        <v>278</v>
      </c>
      <c r="E23" s="659" t="s">
        <v>270</v>
      </c>
      <c r="F23" s="654">
        <v>0.12</v>
      </c>
      <c r="G23" s="659" t="s">
        <v>271</v>
      </c>
      <c r="H23" s="656">
        <v>0</v>
      </c>
      <c r="I23" s="659" t="s">
        <v>272</v>
      </c>
      <c r="J23" s="657">
        <v>0</v>
      </c>
      <c r="K23" s="9"/>
      <c r="L23" s="672" t="s">
        <v>279</v>
      </c>
      <c r="M23" s="9"/>
      <c r="N23" s="9">
        <v>2632.5580383259198</v>
      </c>
      <c r="O23" s="17">
        <v>1.1028910251766E-2</v>
      </c>
      <c r="P23" s="17">
        <v>526.21282789078305</v>
      </c>
      <c r="Q23" s="17" t="s">
        <v>22</v>
      </c>
      <c r="R23" s="17" t="s">
        <v>278</v>
      </c>
      <c r="S23" s="452">
        <v>0</v>
      </c>
      <c r="T23" s="17"/>
      <c r="U23" s="17"/>
      <c r="V23" s="17"/>
      <c r="W23" s="17"/>
      <c r="X23" s="17"/>
      <c r="Y23" s="17"/>
      <c r="Z23" s="17"/>
      <c r="AA23" s="17"/>
      <c r="AB23" s="17"/>
      <c r="AC23" s="17">
        <v>0</v>
      </c>
      <c r="AD23" s="17">
        <v>16.018903324236899</v>
      </c>
      <c r="AE23" s="17">
        <v>165</v>
      </c>
      <c r="AF23" s="102">
        <v>0</v>
      </c>
      <c r="AG23" s="9">
        <v>0</v>
      </c>
      <c r="AH23" s="9">
        <v>0</v>
      </c>
      <c r="AI23" s="17">
        <v>0</v>
      </c>
      <c r="AJ23" s="17">
        <v>0</v>
      </c>
      <c r="AK23" s="17">
        <v>0</v>
      </c>
      <c r="AL23" s="17">
        <v>0</v>
      </c>
      <c r="AM23" s="17">
        <v>0</v>
      </c>
      <c r="AN23" s="17">
        <v>0</v>
      </c>
      <c r="AO23" s="17"/>
      <c r="AP23" s="17"/>
      <c r="AQ23" s="17">
        <v>75.375187478301001</v>
      </c>
      <c r="AR23" s="17"/>
      <c r="AS23" s="17">
        <v>0</v>
      </c>
      <c r="AT23" s="17"/>
      <c r="AU23" s="17">
        <v>35.836106730370098</v>
      </c>
      <c r="AV23" s="17">
        <v>1700</v>
      </c>
      <c r="AW23" s="17">
        <v>0</v>
      </c>
      <c r="AX23">
        <v>24.22837515838</v>
      </c>
    </row>
    <row r="24" spans="1:50" ht="15" x14ac:dyDescent="0.25">
      <c r="A24" s="9"/>
      <c r="B24" s="658" t="s">
        <v>264</v>
      </c>
      <c r="C24" s="654">
        <v>1187.5286019221201</v>
      </c>
      <c r="D24" s="662" t="s">
        <v>278</v>
      </c>
      <c r="E24" s="659" t="s">
        <v>270</v>
      </c>
      <c r="F24" s="654">
        <v>0.12</v>
      </c>
      <c r="G24" s="659" t="s">
        <v>271</v>
      </c>
      <c r="H24" s="656">
        <v>0</v>
      </c>
      <c r="I24" s="659" t="s">
        <v>272</v>
      </c>
      <c r="J24" s="657">
        <v>0</v>
      </c>
      <c r="K24" s="9"/>
      <c r="L24" s="672"/>
      <c r="M24" s="9"/>
      <c r="N24" s="9"/>
      <c r="O24" s="17" t="s">
        <v>267</v>
      </c>
      <c r="P24" s="17">
        <v>814.43983238034104</v>
      </c>
      <c r="Q24" s="17" t="s">
        <v>22</v>
      </c>
      <c r="R24" s="17"/>
      <c r="S24" s="452"/>
      <c r="T24" s="17"/>
      <c r="U24" s="17"/>
      <c r="V24" s="17"/>
      <c r="W24" s="17"/>
      <c r="X24" s="17"/>
      <c r="Y24" s="17"/>
      <c r="Z24" s="17"/>
      <c r="AA24" s="17"/>
      <c r="AB24" s="17"/>
      <c r="AC24" s="17">
        <v>0</v>
      </c>
      <c r="AD24" s="17">
        <v>16.550366079281499</v>
      </c>
      <c r="AE24" s="17">
        <v>175</v>
      </c>
      <c r="AF24" s="102">
        <v>0</v>
      </c>
      <c r="AG24" s="9">
        <v>0</v>
      </c>
      <c r="AH24" s="9">
        <v>0</v>
      </c>
      <c r="AI24" s="17">
        <v>0</v>
      </c>
      <c r="AJ24" s="17">
        <v>0</v>
      </c>
      <c r="AK24" s="17">
        <v>0</v>
      </c>
      <c r="AL24" s="17">
        <v>0</v>
      </c>
      <c r="AM24" s="17">
        <v>0</v>
      </c>
      <c r="AN24" s="17">
        <v>0</v>
      </c>
      <c r="AO24" s="17"/>
      <c r="AP24" s="17"/>
      <c r="AQ24" s="17">
        <v>73.583160627839902</v>
      </c>
      <c r="AR24" s="17"/>
      <c r="AS24" s="17">
        <v>0</v>
      </c>
      <c r="AT24" s="17"/>
      <c r="AU24" s="17">
        <v>33.910958551335902</v>
      </c>
      <c r="AV24" s="17">
        <v>1620</v>
      </c>
      <c r="AW24" s="17">
        <v>0</v>
      </c>
      <c r="AX24">
        <v>24.469940813187598</v>
      </c>
    </row>
    <row r="25" spans="1:50" ht="15" x14ac:dyDescent="0.25">
      <c r="A25" s="9"/>
      <c r="B25" s="658" t="s">
        <v>264</v>
      </c>
      <c r="C25" s="654">
        <v>1187.5286019221201</v>
      </c>
      <c r="D25" s="662" t="s">
        <v>278</v>
      </c>
      <c r="E25" s="659" t="s">
        <v>270</v>
      </c>
      <c r="F25" s="654">
        <v>0.12</v>
      </c>
      <c r="G25" s="659" t="s">
        <v>271</v>
      </c>
      <c r="H25" s="656">
        <v>0</v>
      </c>
      <c r="I25" s="659" t="s">
        <v>272</v>
      </c>
      <c r="J25" s="657">
        <v>0</v>
      </c>
      <c r="K25" s="9"/>
      <c r="L25" s="672"/>
      <c r="M25" s="9"/>
      <c r="N25" s="17"/>
      <c r="O25" s="17"/>
      <c r="P25" s="17"/>
      <c r="Q25" s="17"/>
      <c r="R25" s="17"/>
      <c r="S25" s="452"/>
      <c r="T25" s="17"/>
      <c r="U25" s="17"/>
      <c r="V25" s="17"/>
      <c r="W25" s="17"/>
      <c r="X25" s="17"/>
      <c r="Y25" s="17"/>
      <c r="Z25" s="17"/>
      <c r="AA25" s="17"/>
      <c r="AB25" s="17"/>
      <c r="AC25" s="17">
        <v>0</v>
      </c>
      <c r="AD25" s="17">
        <v>17.067020908954898</v>
      </c>
      <c r="AE25" s="17">
        <v>185</v>
      </c>
      <c r="AF25" s="102">
        <v>0</v>
      </c>
      <c r="AG25" s="9">
        <v>0</v>
      </c>
      <c r="AH25" s="9">
        <v>0</v>
      </c>
      <c r="AI25" s="17">
        <v>0</v>
      </c>
      <c r="AJ25" s="17">
        <v>0</v>
      </c>
      <c r="AK25" s="17">
        <v>0</v>
      </c>
      <c r="AL25" s="17">
        <v>0</v>
      </c>
      <c r="AM25" s="17">
        <v>0</v>
      </c>
      <c r="AN25" s="17">
        <v>0</v>
      </c>
      <c r="AO25" s="17"/>
      <c r="AP25" s="17"/>
      <c r="AQ25" s="17">
        <v>71.746387843402601</v>
      </c>
      <c r="AR25" s="17"/>
      <c r="AS25" s="17">
        <v>0</v>
      </c>
      <c r="AT25" s="17"/>
      <c r="AU25" s="17">
        <v>31.8697297470558</v>
      </c>
      <c r="AV25" s="17">
        <v>1540</v>
      </c>
      <c r="AW25" s="17">
        <v>0</v>
      </c>
      <c r="AX25">
        <v>24.731726663264801</v>
      </c>
    </row>
    <row r="26" spans="1:50" ht="15" x14ac:dyDescent="0.25">
      <c r="A26" s="9"/>
      <c r="B26" s="658" t="s">
        <v>264</v>
      </c>
      <c r="C26" s="654">
        <v>1187.5286019221201</v>
      </c>
      <c r="D26" s="662" t="s">
        <v>278</v>
      </c>
      <c r="E26" s="659" t="s">
        <v>270</v>
      </c>
      <c r="F26" s="654">
        <v>0.12</v>
      </c>
      <c r="G26" s="659" t="s">
        <v>271</v>
      </c>
      <c r="H26" s="656">
        <v>0</v>
      </c>
      <c r="I26" s="659" t="s">
        <v>272</v>
      </c>
      <c r="J26" s="657">
        <v>0</v>
      </c>
      <c r="K26" s="9"/>
      <c r="L26" s="672"/>
      <c r="M26" s="9"/>
      <c r="N26" s="17" t="s">
        <v>280</v>
      </c>
      <c r="O26" s="17" t="s">
        <v>267</v>
      </c>
      <c r="P26" s="9">
        <v>1254.5953494893399</v>
      </c>
      <c r="Q26" s="17" t="s">
        <v>22</v>
      </c>
      <c r="R26" s="17"/>
      <c r="S26" s="452"/>
      <c r="T26" s="17"/>
      <c r="U26" s="17"/>
      <c r="V26" s="17"/>
      <c r="W26" s="17"/>
      <c r="X26" s="17"/>
      <c r="Y26" s="17"/>
      <c r="Z26" s="17"/>
      <c r="AA26" s="17"/>
      <c r="AB26" s="17"/>
      <c r="AC26" s="17">
        <v>0</v>
      </c>
      <c r="AD26" s="17">
        <v>17.570040649157701</v>
      </c>
      <c r="AE26" s="17">
        <v>195</v>
      </c>
      <c r="AF26" s="102">
        <v>0</v>
      </c>
      <c r="AG26" s="9">
        <v>0</v>
      </c>
      <c r="AH26" s="9">
        <v>0</v>
      </c>
      <c r="AI26" s="17">
        <v>0</v>
      </c>
      <c r="AJ26" s="17">
        <v>0</v>
      </c>
      <c r="AK26" s="17">
        <v>0</v>
      </c>
      <c r="AL26" s="17">
        <v>0</v>
      </c>
      <c r="AM26" s="17">
        <v>0</v>
      </c>
      <c r="AN26" s="17">
        <v>0</v>
      </c>
      <c r="AO26" s="17"/>
      <c r="AP26" s="17"/>
      <c r="AQ26" s="17">
        <v>69.861339875280095</v>
      </c>
      <c r="AR26" s="17"/>
      <c r="AS26" s="17">
        <v>0</v>
      </c>
      <c r="AT26" s="17"/>
      <c r="AU26" s="17">
        <v>31.159619096575799</v>
      </c>
      <c r="AV26" s="17">
        <v>1460</v>
      </c>
      <c r="AW26" s="17">
        <v>0</v>
      </c>
      <c r="AX26">
        <v>24.824132356937099</v>
      </c>
    </row>
    <row r="27" spans="1:50" ht="15" x14ac:dyDescent="0.25">
      <c r="A27" s="9"/>
      <c r="B27" s="658" t="s">
        <v>264</v>
      </c>
      <c r="C27" s="654">
        <v>1187.5286019221201</v>
      </c>
      <c r="D27" s="662" t="s">
        <v>278</v>
      </c>
      <c r="E27" s="659" t="s">
        <v>270</v>
      </c>
      <c r="F27" s="654">
        <v>0.12</v>
      </c>
      <c r="G27" s="659" t="s">
        <v>271</v>
      </c>
      <c r="H27" s="656">
        <v>0</v>
      </c>
      <c r="I27" s="659" t="s">
        <v>272</v>
      </c>
      <c r="J27" s="657">
        <v>0</v>
      </c>
      <c r="K27" s="9"/>
      <c r="L27" s="672"/>
      <c r="M27" s="9"/>
      <c r="N27" s="17" t="s">
        <v>281</v>
      </c>
      <c r="O27" s="17"/>
      <c r="P27" s="17">
        <v>30</v>
      </c>
      <c r="Q27" s="17" t="s">
        <v>22</v>
      </c>
      <c r="R27" s="17"/>
      <c r="S27" s="452"/>
      <c r="T27" s="17"/>
      <c r="U27" s="17"/>
      <c r="V27" s="17"/>
      <c r="W27" s="17"/>
      <c r="X27" s="17"/>
      <c r="Y27" s="17"/>
      <c r="Z27" s="17"/>
      <c r="AA27" s="17"/>
      <c r="AB27" s="17"/>
      <c r="AC27" s="17">
        <v>0</v>
      </c>
      <c r="AD27" s="17">
        <v>18.0604510337342</v>
      </c>
      <c r="AE27" s="17">
        <v>205</v>
      </c>
      <c r="AF27" s="102">
        <v>0</v>
      </c>
      <c r="AG27" s="9">
        <v>0</v>
      </c>
      <c r="AH27" s="9">
        <v>0</v>
      </c>
      <c r="AI27" s="17">
        <v>0</v>
      </c>
      <c r="AJ27" s="17">
        <v>0</v>
      </c>
      <c r="AK27" s="17">
        <v>0</v>
      </c>
      <c r="AL27" s="17">
        <v>0</v>
      </c>
      <c r="AM27" s="17">
        <v>0</v>
      </c>
      <c r="AN27" s="17">
        <v>0</v>
      </c>
      <c r="AO27" s="17"/>
      <c r="AP27" s="17"/>
      <c r="AQ27" s="17">
        <v>67.923997598513495</v>
      </c>
      <c r="AR27" s="17"/>
      <c r="AS27" s="17">
        <v>0</v>
      </c>
      <c r="AT27" s="17"/>
      <c r="AU27" s="17">
        <v>30.432943504317901</v>
      </c>
      <c r="AV27" s="17">
        <v>1380</v>
      </c>
      <c r="AW27" s="17">
        <v>0</v>
      </c>
      <c r="AX27">
        <v>24.919394670907401</v>
      </c>
    </row>
    <row r="28" spans="1:50" ht="15" x14ac:dyDescent="0.25">
      <c r="A28" s="9"/>
      <c r="B28" s="658" t="s">
        <v>264</v>
      </c>
      <c r="C28" s="654">
        <v>1187.5286019221201</v>
      </c>
      <c r="D28" s="662" t="s">
        <v>278</v>
      </c>
      <c r="E28" s="659" t="s">
        <v>270</v>
      </c>
      <c r="F28" s="654">
        <v>0.12</v>
      </c>
      <c r="G28" s="659" t="s">
        <v>271</v>
      </c>
      <c r="H28" s="656">
        <v>0</v>
      </c>
      <c r="I28" s="659" t="s">
        <v>272</v>
      </c>
      <c r="J28" s="657">
        <v>0</v>
      </c>
      <c r="K28" s="17"/>
      <c r="L28" s="672"/>
      <c r="M28" s="17"/>
      <c r="N28" s="17"/>
      <c r="O28" s="17"/>
      <c r="P28" s="9">
        <v>1284.5953494893399</v>
      </c>
      <c r="Q28" s="17" t="s">
        <v>22</v>
      </c>
      <c r="R28" s="17"/>
      <c r="S28" s="673"/>
      <c r="T28" s="17"/>
      <c r="U28" s="17"/>
      <c r="V28" s="17"/>
      <c r="W28" s="17"/>
      <c r="X28" s="17"/>
      <c r="Y28" s="17"/>
      <c r="Z28" s="17"/>
      <c r="AA28" s="17"/>
      <c r="AB28" s="17"/>
      <c r="AC28" s="17">
        <v>0</v>
      </c>
      <c r="AD28" s="17">
        <v>18.539155297723699</v>
      </c>
      <c r="AE28" s="17">
        <v>215</v>
      </c>
      <c r="AF28" s="102">
        <v>0</v>
      </c>
      <c r="AG28" s="9">
        <v>0</v>
      </c>
      <c r="AH28" s="9">
        <v>0</v>
      </c>
      <c r="AI28" s="17">
        <v>0</v>
      </c>
      <c r="AJ28" s="17">
        <v>0</v>
      </c>
      <c r="AK28" s="17">
        <v>0</v>
      </c>
      <c r="AL28" s="17">
        <v>0</v>
      </c>
      <c r="AM28" s="17">
        <v>0</v>
      </c>
      <c r="AN28" s="17">
        <v>0</v>
      </c>
      <c r="AO28" s="17"/>
      <c r="AP28" s="17"/>
      <c r="AQ28" s="17">
        <v>65.929751177721897</v>
      </c>
      <c r="AR28" s="17"/>
      <c r="AS28" s="17">
        <v>0</v>
      </c>
      <c r="AT28" s="17"/>
      <c r="AU28" s="17">
        <v>29.6884866308528</v>
      </c>
      <c r="AV28" s="17">
        <v>1300</v>
      </c>
      <c r="AW28" s="17">
        <v>0</v>
      </c>
      <c r="AX28">
        <v>25.0177125304204</v>
      </c>
    </row>
    <row r="29" spans="1:50" ht="15" x14ac:dyDescent="0.25">
      <c r="A29" s="9"/>
      <c r="B29" s="658" t="s">
        <v>264</v>
      </c>
      <c r="C29" s="654">
        <v>1187.5286019221201</v>
      </c>
      <c r="D29" s="662" t="s">
        <v>278</v>
      </c>
      <c r="E29" s="659" t="s">
        <v>270</v>
      </c>
      <c r="F29" s="654">
        <v>0.12</v>
      </c>
      <c r="G29" s="659" t="s">
        <v>271</v>
      </c>
      <c r="H29" s="656">
        <v>0</v>
      </c>
      <c r="I29" s="659" t="s">
        <v>272</v>
      </c>
      <c r="J29" s="657">
        <v>0</v>
      </c>
      <c r="K29" s="17"/>
      <c r="L29" s="672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>
        <v>0</v>
      </c>
      <c r="AD29" s="17">
        <v>19.006953729924199</v>
      </c>
      <c r="AE29" s="17">
        <v>225</v>
      </c>
      <c r="AF29" s="102">
        <v>0</v>
      </c>
      <c r="AG29" s="9">
        <v>0</v>
      </c>
      <c r="AH29" s="9">
        <v>0</v>
      </c>
      <c r="AI29" s="17">
        <v>0</v>
      </c>
      <c r="AJ29" s="17">
        <v>0</v>
      </c>
      <c r="AK29" s="17">
        <v>0</v>
      </c>
      <c r="AL29" s="17">
        <v>0</v>
      </c>
      <c r="AM29" s="17">
        <v>0</v>
      </c>
      <c r="AN29" s="17">
        <v>0</v>
      </c>
      <c r="AO29" s="17"/>
      <c r="AP29" s="17"/>
      <c r="AQ29" s="17">
        <v>63.873270864656497</v>
      </c>
      <c r="AR29" s="17"/>
      <c r="AS29" s="17">
        <v>0</v>
      </c>
      <c r="AT29" s="17"/>
      <c r="AU29" s="17">
        <v>28.924875566260301</v>
      </c>
      <c r="AV29" s="17">
        <v>1220</v>
      </c>
      <c r="AW29" s="17">
        <v>0</v>
      </c>
      <c r="AX29">
        <v>25.119310359777302</v>
      </c>
    </row>
    <row r="30" spans="1:50" ht="15" x14ac:dyDescent="0.25">
      <c r="A30" s="9"/>
      <c r="B30" s="658"/>
      <c r="C30" s="654"/>
      <c r="D30" s="659"/>
      <c r="E30" s="659" t="s">
        <v>282</v>
      </c>
      <c r="F30" s="654">
        <v>95.258057455540396</v>
      </c>
      <c r="G30" s="659"/>
      <c r="H30" s="660"/>
      <c r="I30" s="659" t="s">
        <v>282</v>
      </c>
      <c r="J30" s="661">
        <v>5</v>
      </c>
      <c r="K30" s="17"/>
      <c r="L30" s="672"/>
      <c r="M30" s="17"/>
      <c r="O30" t="s">
        <v>369</v>
      </c>
      <c r="P30" s="407"/>
      <c r="Q30" s="54"/>
      <c r="R30" s="54" t="s">
        <v>283</v>
      </c>
      <c r="S30" s="673"/>
      <c r="T30" s="17"/>
      <c r="U30" s="17"/>
      <c r="V30" s="17"/>
      <c r="W30" s="17"/>
      <c r="X30" s="17"/>
      <c r="Y30" s="17"/>
      <c r="Z30" s="17"/>
      <c r="AA30" s="17"/>
      <c r="AB30" s="17"/>
      <c r="AC30" s="17">
        <v>0</v>
      </c>
      <c r="AD30" s="17">
        <v>20.351682688617998</v>
      </c>
      <c r="AE30" s="17">
        <v>255</v>
      </c>
      <c r="AF30" s="102">
        <v>0</v>
      </c>
      <c r="AG30" s="9">
        <v>0</v>
      </c>
      <c r="AH30" s="9">
        <v>0</v>
      </c>
      <c r="AI30" s="17">
        <v>0</v>
      </c>
      <c r="AJ30" s="17">
        <v>0</v>
      </c>
      <c r="AK30" s="17">
        <v>0</v>
      </c>
      <c r="AL30" s="17">
        <v>0</v>
      </c>
      <c r="AM30" s="17">
        <v>0</v>
      </c>
      <c r="AN30" s="17">
        <v>0</v>
      </c>
      <c r="AO30" s="17"/>
      <c r="AP30" s="17"/>
      <c r="AQ30" s="17">
        <v>61.748339018496999</v>
      </c>
      <c r="AR30" s="17"/>
      <c r="AS30" s="17">
        <v>0</v>
      </c>
      <c r="AT30" s="17"/>
      <c r="AU30" s="17">
        <v>28.1405510716645</v>
      </c>
      <c r="AV30" s="17">
        <v>1140</v>
      </c>
      <c r="AW30" s="17">
        <v>0</v>
      </c>
      <c r="AX30">
        <v>25.2244405089621</v>
      </c>
    </row>
    <row r="31" spans="1:50" ht="15" x14ac:dyDescent="0.25">
      <c r="A31" s="9" t="s">
        <v>261</v>
      </c>
      <c r="B31" s="658" t="s">
        <v>264</v>
      </c>
      <c r="C31" s="654">
        <v>537.512946133171</v>
      </c>
      <c r="D31" s="662" t="s">
        <v>278</v>
      </c>
      <c r="E31" s="659" t="s">
        <v>270</v>
      </c>
      <c r="F31" s="654" t="s">
        <v>370</v>
      </c>
      <c r="G31" s="659" t="s">
        <v>271</v>
      </c>
      <c r="H31" s="663">
        <v>0</v>
      </c>
      <c r="I31" s="659" t="s">
        <v>284</v>
      </c>
      <c r="J31" s="664">
        <v>0</v>
      </c>
      <c r="K31" s="17"/>
      <c r="L31" s="672"/>
      <c r="M31" s="9"/>
      <c r="N31" s="54" t="s">
        <v>285</v>
      </c>
      <c r="O31" s="581">
        <v>3584.5581413981099</v>
      </c>
      <c r="P31" s="581"/>
      <c r="Q31" s="54"/>
      <c r="R31" s="581">
        <v>2367.1610367723401</v>
      </c>
      <c r="S31" s="452"/>
      <c r="T31" s="17"/>
      <c r="U31" s="17"/>
      <c r="V31" s="17"/>
      <c r="W31" s="17"/>
      <c r="X31" s="17"/>
      <c r="Y31" s="17"/>
      <c r="Z31" s="17"/>
      <c r="AA31" s="17"/>
      <c r="AB31" s="17"/>
      <c r="AC31" s="17">
        <v>0</v>
      </c>
      <c r="AD31" s="17">
        <v>21.619977413497999</v>
      </c>
      <c r="AE31" s="17">
        <v>285</v>
      </c>
      <c r="AF31" s="102">
        <v>0</v>
      </c>
      <c r="AG31" s="9">
        <v>0</v>
      </c>
      <c r="AH31" s="9">
        <v>0</v>
      </c>
      <c r="AI31" s="17">
        <v>0</v>
      </c>
      <c r="AJ31" s="17">
        <v>0</v>
      </c>
      <c r="AK31" s="17">
        <v>0</v>
      </c>
      <c r="AL31" s="17">
        <v>0</v>
      </c>
      <c r="AM31" s="17">
        <v>0</v>
      </c>
      <c r="AN31" s="17">
        <v>0</v>
      </c>
      <c r="AO31" s="17"/>
      <c r="AP31" s="17"/>
      <c r="AQ31" s="17">
        <v>59.547628098327202</v>
      </c>
      <c r="AR31" s="17"/>
      <c r="AS31" s="17">
        <v>0</v>
      </c>
      <c r="AT31" s="17"/>
      <c r="AU31" s="17">
        <v>27.333730127998901</v>
      </c>
      <c r="AV31" s="17">
        <v>1060</v>
      </c>
      <c r="AW31" s="17">
        <v>0</v>
      </c>
      <c r="AX31">
        <v>25.333393099254401</v>
      </c>
    </row>
    <row r="32" spans="1:50" ht="15" x14ac:dyDescent="0.25">
      <c r="A32" s="9" t="s">
        <v>286</v>
      </c>
      <c r="B32" s="665" t="s">
        <v>264</v>
      </c>
      <c r="C32" s="654">
        <v>921.72797622114194</v>
      </c>
      <c r="D32" s="666" t="s">
        <v>278</v>
      </c>
      <c r="E32" s="667" t="s">
        <v>270</v>
      </c>
      <c r="F32" s="654">
        <v>289.89745965345799</v>
      </c>
      <c r="G32" s="667" t="s">
        <v>271</v>
      </c>
      <c r="H32" s="666">
        <v>0</v>
      </c>
      <c r="I32" s="667" t="s">
        <v>284</v>
      </c>
      <c r="J32" s="668">
        <v>0</v>
      </c>
      <c r="K32" s="17"/>
      <c r="L32" s="692"/>
      <c r="M32" s="693"/>
      <c r="N32" s="594" t="s">
        <v>287</v>
      </c>
      <c r="O32" s="595">
        <v>2329.9627919087702</v>
      </c>
      <c r="P32" s="595"/>
      <c r="Q32" s="594"/>
      <c r="R32" s="595">
        <v>1112.565687283</v>
      </c>
      <c r="S32" s="469"/>
      <c r="T32" s="17"/>
      <c r="U32" s="17"/>
      <c r="V32" s="17"/>
      <c r="W32" s="17"/>
      <c r="X32" s="17"/>
      <c r="Y32" s="17"/>
      <c r="Z32" s="17"/>
      <c r="AA32" s="17"/>
      <c r="AB32" s="17"/>
      <c r="AC32" s="17">
        <v>0</v>
      </c>
      <c r="AD32" s="17">
        <v>22.229241424669102</v>
      </c>
      <c r="AE32" s="17">
        <v>300</v>
      </c>
      <c r="AF32" s="102">
        <v>0</v>
      </c>
      <c r="AG32" s="9">
        <v>0</v>
      </c>
      <c r="AH32" s="9">
        <v>0</v>
      </c>
      <c r="AI32" s="17">
        <v>0</v>
      </c>
      <c r="AJ32" s="17">
        <v>0</v>
      </c>
      <c r="AK32" s="17">
        <v>0</v>
      </c>
      <c r="AL32" s="17">
        <v>0</v>
      </c>
      <c r="AM32" s="17">
        <v>0</v>
      </c>
      <c r="AN32" s="17">
        <v>0</v>
      </c>
      <c r="AO32" s="17"/>
      <c r="AP32" s="17"/>
      <c r="AQ32" s="17">
        <v>57.262401737354203</v>
      </c>
      <c r="AR32" s="17"/>
      <c r="AS32" s="17">
        <v>0</v>
      </c>
      <c r="AT32" s="17"/>
      <c r="AU32" s="17">
        <v>26.502358212121301</v>
      </c>
      <c r="AV32" s="17">
        <v>980</v>
      </c>
      <c r="AW32" s="17">
        <v>0</v>
      </c>
      <c r="AX32">
        <v>25.428652150945499</v>
      </c>
    </row>
    <row r="33" spans="1:50" ht="15" x14ac:dyDescent="0.25">
      <c r="A33" s="9"/>
      <c r="B33" s="9"/>
      <c r="C33" s="9"/>
      <c r="D33" s="9"/>
      <c r="E33" s="9"/>
      <c r="F33" s="9">
        <v>435.15551710899803</v>
      </c>
      <c r="G33" s="9"/>
      <c r="H33" s="9"/>
      <c r="I33" s="9"/>
      <c r="J33" s="9">
        <v>5</v>
      </c>
      <c r="K33" s="17"/>
      <c r="L33" s="17"/>
      <c r="M33" s="17"/>
      <c r="N33" s="54" t="s">
        <v>45</v>
      </c>
      <c r="O33" s="581">
        <v>588.18960167340697</v>
      </c>
      <c r="Q33" s="54"/>
      <c r="R33" s="581">
        <v>388.42709544470301</v>
      </c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>
        <v>0</v>
      </c>
      <c r="AD33" s="17">
        <v>23.403971225310201</v>
      </c>
      <c r="AE33" s="17">
        <v>330</v>
      </c>
      <c r="AF33" s="102">
        <v>0</v>
      </c>
      <c r="AG33" s="9">
        <v>0</v>
      </c>
      <c r="AH33" s="9">
        <v>0</v>
      </c>
      <c r="AI33" s="17">
        <v>0</v>
      </c>
      <c r="AJ33" s="17"/>
      <c r="AK33" s="17">
        <v>0</v>
      </c>
      <c r="AL33" s="17"/>
      <c r="AM33" s="17">
        <v>0</v>
      </c>
      <c r="AN33" s="17">
        <v>0</v>
      </c>
      <c r="AO33" s="17"/>
      <c r="AP33" s="17"/>
      <c r="AQ33" s="17">
        <v>54.882103579615098</v>
      </c>
      <c r="AR33" s="17"/>
      <c r="AS33" s="17">
        <v>0</v>
      </c>
      <c r="AT33" s="17"/>
      <c r="AU33" s="17">
        <v>25.644047630920301</v>
      </c>
      <c r="AV33" s="17">
        <v>900</v>
      </c>
      <c r="AW33" s="17">
        <v>0</v>
      </c>
      <c r="AX33">
        <v>25.446496583359799</v>
      </c>
    </row>
    <row r="34" spans="1:50" ht="15" x14ac:dyDescent="0.25">
      <c r="A34" s="9" t="s">
        <v>288</v>
      </c>
      <c r="B34" s="9"/>
      <c r="C34" s="9"/>
      <c r="D34" s="9">
        <v>8130.9555171089996</v>
      </c>
      <c r="E34" s="9"/>
      <c r="F34" s="17"/>
      <c r="G34" s="17"/>
      <c r="H34" s="17"/>
      <c r="I34" s="9"/>
      <c r="J34" s="669"/>
      <c r="K34" s="17"/>
      <c r="L34" s="17"/>
      <c r="M34" s="17"/>
      <c r="N34" s="54" t="s">
        <v>289</v>
      </c>
      <c r="O34" s="566">
        <v>0.16964818300286399</v>
      </c>
      <c r="P34" s="54" t="s">
        <v>290</v>
      </c>
      <c r="Q34" s="54"/>
      <c r="R34" s="566">
        <v>0.24550530133352999</v>
      </c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>
        <v>0</v>
      </c>
      <c r="AD34" s="17">
        <v>24.5267293124855</v>
      </c>
      <c r="AE34" s="17">
        <v>360</v>
      </c>
      <c r="AF34" s="102">
        <v>0</v>
      </c>
      <c r="AG34" s="9">
        <v>0</v>
      </c>
      <c r="AH34" s="9">
        <v>0</v>
      </c>
      <c r="AI34" s="17">
        <v>0</v>
      </c>
      <c r="AJ34" s="17"/>
      <c r="AK34" s="17">
        <v>0</v>
      </c>
      <c r="AL34" s="17"/>
      <c r="AM34" s="17">
        <v>0</v>
      </c>
      <c r="AN34" s="17">
        <v>0</v>
      </c>
      <c r="AO34" s="17"/>
      <c r="AP34" s="17"/>
      <c r="AQ34" s="17">
        <v>52.393777625945802</v>
      </c>
      <c r="AR34" s="17"/>
      <c r="AS34" s="17">
        <v>0</v>
      </c>
      <c r="AT34" s="17"/>
      <c r="AU34" s="17">
        <v>24.755996586488401</v>
      </c>
      <c r="AV34" s="17">
        <v>820</v>
      </c>
      <c r="AW34" s="17">
        <v>0</v>
      </c>
      <c r="AX34">
        <v>25.564131021329001</v>
      </c>
    </row>
    <row r="35" spans="1:50" ht="15" x14ac:dyDescent="0.25">
      <c r="A35" s="102" t="s">
        <v>123</v>
      </c>
      <c r="B35" s="102"/>
      <c r="C35" s="102"/>
      <c r="D35" s="17"/>
      <c r="E35" s="407"/>
      <c r="F35" s="9" t="s">
        <v>292</v>
      </c>
      <c r="G35" s="9"/>
      <c r="H35" s="9">
        <v>440.15551710899803</v>
      </c>
      <c r="I35" s="9"/>
      <c r="J35" s="17"/>
      <c r="K35" s="17"/>
      <c r="L35" s="17"/>
      <c r="M35" s="17"/>
      <c r="N35" s="407" t="s">
        <v>291</v>
      </c>
      <c r="O35" s="581">
        <v>8.5865552280796305</v>
      </c>
      <c r="P35" s="581"/>
      <c r="Q35" s="581"/>
      <c r="R35" s="581">
        <v>10.3293929373536</v>
      </c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>
        <v>0</v>
      </c>
      <c r="AD35" s="17">
        <v>25.603858100261402</v>
      </c>
      <c r="AE35" s="17">
        <v>390</v>
      </c>
      <c r="AF35" s="102">
        <v>0</v>
      </c>
      <c r="AG35" s="9">
        <v>0</v>
      </c>
      <c r="AH35" s="9">
        <v>0</v>
      </c>
      <c r="AI35" s="17">
        <v>0</v>
      </c>
      <c r="AJ35" s="17"/>
      <c r="AK35" s="17">
        <v>0</v>
      </c>
      <c r="AL35" s="17"/>
      <c r="AM35" s="17">
        <v>0</v>
      </c>
      <c r="AN35" s="17">
        <v>0</v>
      </c>
      <c r="AO35" s="17"/>
      <c r="AP35" s="17"/>
      <c r="AQ35" s="17">
        <v>49.781227129416202</v>
      </c>
      <c r="AR35" s="17"/>
      <c r="AS35" s="17">
        <v>0</v>
      </c>
      <c r="AT35" s="17"/>
      <c r="AU35" s="17">
        <v>23.834881058724498</v>
      </c>
      <c r="AV35" s="17">
        <v>740</v>
      </c>
      <c r="AW35" s="17">
        <v>0</v>
      </c>
      <c r="AX35">
        <v>25.589562148321502</v>
      </c>
    </row>
    <row r="36" spans="1:50" ht="15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54" t="s">
        <v>293</v>
      </c>
      <c r="O36" s="581">
        <v>8.5865552280796305</v>
      </c>
      <c r="P36" s="581"/>
      <c r="Q36" s="581"/>
      <c r="R36" s="581">
        <v>10.3293929373536</v>
      </c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>
        <v>0</v>
      </c>
      <c r="AD36" s="17">
        <v>26.640506210974301</v>
      </c>
      <c r="AE36" s="17">
        <v>420</v>
      </c>
      <c r="AF36" s="102">
        <v>0</v>
      </c>
      <c r="AG36" s="9">
        <v>0</v>
      </c>
      <c r="AH36" s="9">
        <v>0</v>
      </c>
      <c r="AI36" s="17">
        <v>0</v>
      </c>
      <c r="AJ36" s="17"/>
      <c r="AK36" s="17">
        <v>0</v>
      </c>
      <c r="AL36" s="17"/>
      <c r="AM36" s="17">
        <v>0</v>
      </c>
      <c r="AN36" s="17">
        <v>0</v>
      </c>
      <c r="AO36" s="17"/>
      <c r="AP36" s="17"/>
      <c r="AQ36" s="17">
        <v>47.023751606012603</v>
      </c>
      <c r="AR36" s="17"/>
      <c r="AS36" s="17">
        <v>0</v>
      </c>
      <c r="AT36" s="17"/>
      <c r="AU36" s="17">
        <v>22.8767074374102</v>
      </c>
      <c r="AV36" s="17">
        <v>660</v>
      </c>
      <c r="AW36" s="17">
        <v>0</v>
      </c>
      <c r="AX36">
        <v>25.686740266965799</v>
      </c>
    </row>
    <row r="37" spans="1:50" ht="15" x14ac:dyDescent="0.25">
      <c r="A37" s="17"/>
      <c r="B37" s="9" t="s">
        <v>296</v>
      </c>
      <c r="C37" s="9"/>
      <c r="D37" s="9"/>
      <c r="E37" s="9"/>
      <c r="F37" s="9"/>
      <c r="G37" s="9"/>
      <c r="H37" s="9"/>
      <c r="I37" s="17"/>
      <c r="J37" s="17"/>
      <c r="K37" s="17"/>
      <c r="L37" s="17"/>
      <c r="M37" s="17"/>
      <c r="N37" s="54" t="s">
        <v>294</v>
      </c>
      <c r="O37" s="581">
        <v>8.5865552280796305</v>
      </c>
      <c r="P37" s="581"/>
      <c r="Q37" s="581"/>
      <c r="R37" s="581">
        <v>10.3293929373536</v>
      </c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>
        <v>0</v>
      </c>
      <c r="AD37" s="17">
        <v>27.6409212073841</v>
      </c>
      <c r="AE37" s="17">
        <v>450</v>
      </c>
      <c r="AF37" s="102">
        <v>0</v>
      </c>
      <c r="AG37" s="9">
        <v>0</v>
      </c>
      <c r="AH37" s="9">
        <v>0</v>
      </c>
      <c r="AI37" s="17">
        <v>0</v>
      </c>
      <c r="AJ37" s="17"/>
      <c r="AK37" s="17">
        <v>0</v>
      </c>
      <c r="AL37" s="17"/>
      <c r="AM37" s="17">
        <v>0</v>
      </c>
      <c r="AN37" s="17">
        <v>0</v>
      </c>
      <c r="AO37" s="17"/>
      <c r="AP37" s="17"/>
      <c r="AQ37" s="17">
        <v>44.094170314197299</v>
      </c>
      <c r="AR37" s="17"/>
      <c r="AS37" s="17">
        <v>0</v>
      </c>
      <c r="AT37" s="17"/>
      <c r="AU37" s="17">
        <v>21.876606941437998</v>
      </c>
      <c r="AV37" s="17">
        <v>580</v>
      </c>
      <c r="AW37" s="17">
        <v>0</v>
      </c>
      <c r="AX37">
        <v>25.814840829389698</v>
      </c>
    </row>
    <row r="38" spans="1:50" ht="15" x14ac:dyDescent="0.25">
      <c r="A38" s="17"/>
      <c r="B38" s="670" t="s">
        <v>298</v>
      </c>
      <c r="C38" s="646"/>
      <c r="D38" s="646"/>
      <c r="E38" s="671"/>
      <c r="F38" s="670" t="s">
        <v>299</v>
      </c>
      <c r="G38" s="646"/>
      <c r="H38" s="671">
        <v>0</v>
      </c>
      <c r="I38" s="17"/>
      <c r="J38" s="17"/>
      <c r="K38" s="17"/>
      <c r="L38" s="17"/>
      <c r="M38" s="17"/>
      <c r="N38" s="54" t="s">
        <v>295</v>
      </c>
      <c r="O38" s="407" t="s">
        <v>46</v>
      </c>
      <c r="P38" s="407"/>
      <c r="Q38" s="407"/>
      <c r="R38" s="407" t="s">
        <v>46</v>
      </c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>
        <v>0</v>
      </c>
      <c r="AD38" s="17">
        <v>28.608656030996201</v>
      </c>
      <c r="AE38" s="17">
        <v>480</v>
      </c>
      <c r="AF38" s="102">
        <v>0</v>
      </c>
      <c r="AG38" s="9">
        <v>0</v>
      </c>
      <c r="AH38" s="9">
        <v>0</v>
      </c>
      <c r="AI38" s="17">
        <v>0</v>
      </c>
      <c r="AJ38" s="17"/>
      <c r="AK38" s="17">
        <v>0</v>
      </c>
      <c r="AL38" s="17"/>
      <c r="AM38" s="17">
        <v>0</v>
      </c>
      <c r="AN38" s="17">
        <v>0</v>
      </c>
      <c r="AO38" s="17"/>
      <c r="AP38" s="17"/>
      <c r="AQ38" s="17">
        <v>40.955567341826601</v>
      </c>
      <c r="AR38" s="17"/>
      <c r="AS38" s="17">
        <v>0</v>
      </c>
      <c r="AT38" s="17"/>
      <c r="AU38" s="17">
        <v>20.828540980190901</v>
      </c>
      <c r="AV38" s="17">
        <v>500</v>
      </c>
      <c r="AW38" s="17">
        <v>0</v>
      </c>
      <c r="AX38">
        <v>25.891843390349301</v>
      </c>
    </row>
    <row r="39" spans="1:50" ht="15" x14ac:dyDescent="0.25">
      <c r="A39" s="17"/>
      <c r="B39" s="672" t="s">
        <v>301</v>
      </c>
      <c r="C39" s="9"/>
      <c r="D39" s="9" t="s">
        <v>302</v>
      </c>
      <c r="E39" s="673">
        <v>0.51453021314951497</v>
      </c>
      <c r="F39" s="672" t="s">
        <v>301</v>
      </c>
      <c r="G39" s="9" t="s">
        <v>303</v>
      </c>
      <c r="H39" s="673">
        <v>26.837723987427101</v>
      </c>
      <c r="I39" s="17"/>
      <c r="J39" s="17"/>
      <c r="K39" s="17"/>
      <c r="L39" s="17"/>
      <c r="M39" s="17"/>
      <c r="N39" s="54" t="s">
        <v>297</v>
      </c>
      <c r="O39" s="407" t="s">
        <v>46</v>
      </c>
      <c r="P39" s="407"/>
      <c r="Q39" s="407"/>
      <c r="R39" s="407" t="s">
        <v>46</v>
      </c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>
        <v>0</v>
      </c>
      <c r="AD39" s="17">
        <v>29.546718340032299</v>
      </c>
      <c r="AE39" s="17">
        <v>510</v>
      </c>
      <c r="AF39" s="102">
        <v>0</v>
      </c>
      <c r="AG39" s="9">
        <v>0</v>
      </c>
      <c r="AH39" s="9">
        <v>0</v>
      </c>
      <c r="AI39" s="17">
        <v>0</v>
      </c>
      <c r="AJ39" s="17"/>
      <c r="AK39" s="17">
        <v>0</v>
      </c>
      <c r="AL39" s="17"/>
      <c r="AM39" s="17">
        <v>0</v>
      </c>
      <c r="AN39" s="17">
        <v>0</v>
      </c>
      <c r="AO39" s="17"/>
      <c r="AP39" s="17"/>
      <c r="AQ39" s="17">
        <v>37.555573978896298</v>
      </c>
      <c r="AR39" s="17"/>
      <c r="AS39" s="17">
        <v>0</v>
      </c>
      <c r="AT39" s="17"/>
      <c r="AU39" s="17">
        <v>19.724865207570101</v>
      </c>
      <c r="AV39" s="17">
        <v>420</v>
      </c>
      <c r="AW39" s="17">
        <v>0</v>
      </c>
      <c r="AX39">
        <v>25.949051336453898</v>
      </c>
    </row>
    <row r="40" spans="1:50" ht="15" x14ac:dyDescent="0.25">
      <c r="A40" s="17"/>
      <c r="B40" s="672"/>
      <c r="C40" s="9"/>
      <c r="D40" s="9" t="s">
        <v>304</v>
      </c>
      <c r="E40" s="673">
        <v>2.0581208525980599</v>
      </c>
      <c r="F40" s="672"/>
      <c r="G40" s="9" t="s">
        <v>305</v>
      </c>
      <c r="H40" s="673">
        <v>433.53246441228498</v>
      </c>
      <c r="I40" s="17"/>
      <c r="J40" s="17"/>
      <c r="K40" s="17"/>
      <c r="L40" s="17"/>
      <c r="M40" s="17"/>
      <c r="N40" s="54" t="s">
        <v>300</v>
      </c>
      <c r="O40" s="407" t="s">
        <v>46</v>
      </c>
      <c r="P40" s="407"/>
      <c r="Q40" s="407"/>
      <c r="R40" s="407" t="s">
        <v>46</v>
      </c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>
        <v>0</v>
      </c>
      <c r="AD40" s="17">
        <v>30.4576809403694</v>
      </c>
      <c r="AE40" s="17">
        <v>540</v>
      </c>
      <c r="AF40" s="102">
        <v>0</v>
      </c>
      <c r="AG40" s="9">
        <v>0</v>
      </c>
      <c r="AH40" s="9">
        <v>0</v>
      </c>
      <c r="AI40" s="17">
        <v>0</v>
      </c>
      <c r="AJ40" s="17"/>
      <c r="AK40" s="17">
        <v>0</v>
      </c>
      <c r="AL40" s="17"/>
      <c r="AM40" s="17">
        <v>0</v>
      </c>
      <c r="AN40" s="17">
        <v>0</v>
      </c>
      <c r="AO40" s="17"/>
      <c r="AP40" s="17"/>
      <c r="AQ40" s="17">
        <v>33.815436970085202</v>
      </c>
      <c r="AR40" s="17"/>
      <c r="AS40" s="17">
        <v>0</v>
      </c>
      <c r="AT40" s="17"/>
      <c r="AU40" s="17">
        <v>18.555659394107401</v>
      </c>
      <c r="AV40" s="17">
        <v>340</v>
      </c>
      <c r="AW40" s="17">
        <v>0</v>
      </c>
      <c r="AX40">
        <v>26.090117485011699</v>
      </c>
    </row>
    <row r="41" spans="1:50" ht="15" x14ac:dyDescent="0.25">
      <c r="A41" s="17"/>
      <c r="B41" s="672" t="s">
        <v>132</v>
      </c>
      <c r="C41" s="9"/>
      <c r="D41" s="9" t="s">
        <v>218</v>
      </c>
      <c r="E41" s="673">
        <v>64.597497431309193</v>
      </c>
      <c r="F41" s="672"/>
      <c r="G41" s="9" t="s">
        <v>306</v>
      </c>
      <c r="H41" s="674">
        <v>5.5E-2</v>
      </c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>
        <v>0</v>
      </c>
      <c r="AD41" s="17">
        <v>31.3437650247885</v>
      </c>
      <c r="AE41" s="17">
        <v>570</v>
      </c>
      <c r="AF41" s="102">
        <v>0</v>
      </c>
      <c r="AG41" s="9">
        <v>0</v>
      </c>
      <c r="AH41" s="9">
        <v>0</v>
      </c>
      <c r="AI41" s="17">
        <v>0</v>
      </c>
      <c r="AJ41" s="17"/>
      <c r="AK41" s="17">
        <v>0</v>
      </c>
      <c r="AL41" s="17"/>
      <c r="AM41" s="17">
        <v>0</v>
      </c>
      <c r="AN41" s="17">
        <v>0</v>
      </c>
      <c r="AO41" s="17"/>
      <c r="AP41" s="17"/>
      <c r="AQ41" s="17">
        <v>29.606526612746499</v>
      </c>
      <c r="AR41" s="17"/>
      <c r="AS41" s="17">
        <v>0</v>
      </c>
      <c r="AT41" s="17"/>
      <c r="AU41" s="17">
        <v>17.307648125711399</v>
      </c>
      <c r="AV41" s="17">
        <v>260</v>
      </c>
      <c r="AW41" s="17">
        <v>0</v>
      </c>
      <c r="AX41">
        <v>26.128794504080702</v>
      </c>
    </row>
    <row r="42" spans="1:50" ht="15" x14ac:dyDescent="0.25">
      <c r="A42" s="17"/>
      <c r="B42" s="417"/>
      <c r="C42" s="675"/>
      <c r="D42" s="675"/>
      <c r="E42" s="676">
        <v>2280</v>
      </c>
      <c r="F42" s="672" t="s">
        <v>307</v>
      </c>
      <c r="G42" s="17">
        <v>3600</v>
      </c>
      <c r="H42" s="673"/>
      <c r="I42" s="17"/>
      <c r="J42" s="17"/>
      <c r="K42" s="17"/>
      <c r="L42" s="9"/>
      <c r="M42" s="9"/>
      <c r="N42" s="9"/>
      <c r="O42" s="9"/>
      <c r="P42" s="9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>
        <v>0</v>
      </c>
      <c r="AD42" s="17">
        <v>32.206903981941998</v>
      </c>
      <c r="AE42" s="17">
        <v>600</v>
      </c>
      <c r="AF42" s="102">
        <v>0</v>
      </c>
      <c r="AG42" s="9">
        <v>0</v>
      </c>
      <c r="AH42" s="9">
        <v>0</v>
      </c>
      <c r="AI42" s="17">
        <v>0</v>
      </c>
      <c r="AJ42" s="17"/>
      <c r="AK42" s="17">
        <v>0</v>
      </c>
      <c r="AL42" s="17"/>
      <c r="AM42" s="17">
        <v>0</v>
      </c>
      <c r="AN42" s="17">
        <v>0</v>
      </c>
      <c r="AO42" s="17"/>
      <c r="AP42" s="17"/>
      <c r="AQ42" s="17">
        <v>29.037548934878199</v>
      </c>
      <c r="AR42" s="17"/>
      <c r="AS42" s="17">
        <v>0</v>
      </c>
      <c r="AT42" s="17"/>
      <c r="AU42" s="17">
        <v>15.962357962931399</v>
      </c>
      <c r="AV42" s="17">
        <v>250</v>
      </c>
      <c r="AW42" s="17">
        <v>0</v>
      </c>
      <c r="AX42">
        <v>26.232528476735101</v>
      </c>
    </row>
    <row r="43" spans="1:50" ht="15" x14ac:dyDescent="0.25">
      <c r="A43" s="17"/>
      <c r="B43" s="17"/>
      <c r="C43" s="17"/>
      <c r="D43" s="17"/>
      <c r="E43" s="9"/>
      <c r="F43" s="417" t="s">
        <v>132</v>
      </c>
      <c r="G43" s="675"/>
      <c r="H43" s="677">
        <v>0</v>
      </c>
      <c r="I43" s="17"/>
      <c r="J43" s="17"/>
      <c r="K43" s="17"/>
      <c r="L43" s="9"/>
      <c r="M43" s="9"/>
      <c r="N43" s="9"/>
      <c r="O43" s="9"/>
      <c r="P43" s="9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>
        <v>0</v>
      </c>
      <c r="AD43" s="17">
        <v>33.048793046712603</v>
      </c>
      <c r="AE43" s="17">
        <v>630</v>
      </c>
      <c r="AF43" s="102">
        <v>0</v>
      </c>
      <c r="AG43" s="9">
        <v>0</v>
      </c>
      <c r="AH43" s="9">
        <v>0</v>
      </c>
      <c r="AI43" s="17">
        <v>0</v>
      </c>
      <c r="AJ43" s="17"/>
      <c r="AK43" s="17">
        <v>0</v>
      </c>
      <c r="AL43" s="17"/>
      <c r="AM43" s="17">
        <v>0</v>
      </c>
      <c r="AN43" s="17">
        <v>0</v>
      </c>
      <c r="AO43" s="17"/>
      <c r="AP43" s="17"/>
      <c r="AQ43" s="17">
        <v>28.457197300852201</v>
      </c>
      <c r="AR43" s="17"/>
      <c r="AS43" s="17">
        <v>0</v>
      </c>
      <c r="AT43" s="17"/>
      <c r="AU43" s="17">
        <v>14.4927243757023</v>
      </c>
      <c r="AV43" s="17">
        <v>240</v>
      </c>
      <c r="AW43" s="17">
        <v>0</v>
      </c>
      <c r="AX43">
        <v>26.238945610314801</v>
      </c>
    </row>
    <row r="44" spans="1:50" ht="15" x14ac:dyDescent="0.25">
      <c r="A44" s="9"/>
      <c r="B44" s="9"/>
      <c r="C44" s="9"/>
      <c r="D44" s="9"/>
      <c r="E44" s="9"/>
      <c r="F44" s="17"/>
      <c r="G44" s="17"/>
      <c r="H44" s="9"/>
      <c r="I44" s="17"/>
      <c r="J44" s="17"/>
      <c r="K44" s="17"/>
      <c r="L44" s="9"/>
      <c r="M44" s="9"/>
      <c r="N44" s="9"/>
      <c r="O44" s="9"/>
      <c r="P44" s="9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>
        <v>0</v>
      </c>
      <c r="AD44" s="17">
        <v>33.870928452338397</v>
      </c>
      <c r="AE44" s="17">
        <v>660</v>
      </c>
      <c r="AF44" s="102">
        <v>0</v>
      </c>
      <c r="AG44" s="9">
        <v>0</v>
      </c>
      <c r="AH44" s="9">
        <v>0</v>
      </c>
      <c r="AI44" s="17">
        <v>0</v>
      </c>
      <c r="AJ44" s="17"/>
      <c r="AK44" s="17">
        <v>0</v>
      </c>
      <c r="AL44" s="17"/>
      <c r="AM44" s="17">
        <v>0</v>
      </c>
      <c r="AN44" s="17">
        <v>0</v>
      </c>
      <c r="AO44" s="17"/>
      <c r="AP44" s="17"/>
      <c r="AQ44" s="17">
        <v>27.864761048568301</v>
      </c>
      <c r="AR44" s="17"/>
      <c r="AS44" s="17">
        <v>0</v>
      </c>
      <c r="AT44" s="17"/>
      <c r="AU44" s="17">
        <v>12.856175478088</v>
      </c>
      <c r="AV44" s="17">
        <v>230</v>
      </c>
      <c r="AW44" s="17">
        <v>0</v>
      </c>
      <c r="AX44">
        <v>26.2597113381665</v>
      </c>
    </row>
    <row r="45" spans="1:50" ht="15" x14ac:dyDescent="0.25">
      <c r="A45" s="17"/>
      <c r="B45" s="17"/>
      <c r="C45" s="17"/>
      <c r="D45" s="17"/>
      <c r="E45" s="17"/>
      <c r="F45" s="17"/>
      <c r="G45" s="17"/>
      <c r="H45" s="9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>
        <v>0</v>
      </c>
      <c r="AD45" s="17">
        <v>34.674638676260599</v>
      </c>
      <c r="AE45" s="17">
        <v>690</v>
      </c>
      <c r="AF45" s="102">
        <v>0</v>
      </c>
      <c r="AG45" s="9">
        <v>0</v>
      </c>
      <c r="AH45" s="9">
        <v>0</v>
      </c>
      <c r="AI45" s="17">
        <v>0</v>
      </c>
      <c r="AJ45" s="17"/>
      <c r="AK45" s="17">
        <v>0</v>
      </c>
      <c r="AL45" s="17"/>
      <c r="AM45" s="17">
        <v>0</v>
      </c>
      <c r="AN45" s="17">
        <v>0</v>
      </c>
      <c r="AO45" s="17"/>
      <c r="AP45" s="17"/>
      <c r="AQ45" s="17">
        <v>27.259452275641799</v>
      </c>
      <c r="AR45" s="17"/>
      <c r="AS45" s="17">
        <v>0</v>
      </c>
      <c r="AT45" s="17"/>
      <c r="AU45" s="17">
        <v>11.954176758357301</v>
      </c>
      <c r="AV45" s="17">
        <v>220</v>
      </c>
      <c r="AW45" s="17">
        <v>0</v>
      </c>
      <c r="AX45">
        <v>26.268773763338402</v>
      </c>
    </row>
    <row r="46" spans="1:50" ht="15" x14ac:dyDescent="0.25">
      <c r="A46" s="17"/>
      <c r="B46" s="418" t="s">
        <v>192</v>
      </c>
      <c r="C46" s="431">
        <v>4599786</v>
      </c>
      <c r="D46" s="671">
        <v>0</v>
      </c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>
        <v>0</v>
      </c>
      <c r="AD46" s="17">
        <v>35.461109647683401</v>
      </c>
      <c r="AE46" s="17">
        <v>720</v>
      </c>
      <c r="AF46" s="102">
        <v>0</v>
      </c>
      <c r="AG46" s="9">
        <v>0</v>
      </c>
      <c r="AH46" s="9">
        <v>0</v>
      </c>
      <c r="AI46" s="17">
        <v>0</v>
      </c>
      <c r="AJ46" s="17"/>
      <c r="AK46" s="17">
        <v>0</v>
      </c>
      <c r="AL46" s="17"/>
      <c r="AM46" s="17">
        <v>0</v>
      </c>
      <c r="AN46" s="17">
        <v>0</v>
      </c>
      <c r="AO46" s="17"/>
      <c r="AP46" s="17"/>
      <c r="AQ46" s="17">
        <v>26.640393548935702</v>
      </c>
      <c r="AR46" s="17"/>
      <c r="AS46" s="17">
        <v>0</v>
      </c>
      <c r="AT46" s="17"/>
      <c r="AU46" s="17">
        <v>9.90679211770221</v>
      </c>
      <c r="AV46" s="17">
        <v>210</v>
      </c>
      <c r="AW46" s="17">
        <v>0</v>
      </c>
      <c r="AX46">
        <v>26.3966658201374</v>
      </c>
    </row>
    <row r="47" spans="1:50" ht="15" x14ac:dyDescent="0.25">
      <c r="A47" s="17"/>
      <c r="B47" s="678"/>
      <c r="C47" s="9"/>
      <c r="D47" s="673">
        <v>0</v>
      </c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>
        <v>0</v>
      </c>
      <c r="AD47" s="17">
        <v>36.231405284624998</v>
      </c>
      <c r="AE47" s="17">
        <v>750</v>
      </c>
      <c r="AF47" s="102">
        <v>0</v>
      </c>
      <c r="AG47" s="9">
        <v>0</v>
      </c>
      <c r="AH47" s="9">
        <v>0</v>
      </c>
      <c r="AI47" s="17">
        <v>0</v>
      </c>
      <c r="AJ47" s="17"/>
      <c r="AK47" s="17">
        <v>0</v>
      </c>
      <c r="AL47" s="17"/>
      <c r="AM47" s="17">
        <v>0</v>
      </c>
      <c r="AN47" s="17">
        <v>0</v>
      </c>
      <c r="AO47" s="17"/>
      <c r="AP47" s="17"/>
      <c r="AQ47" s="17">
        <v>26.006602979173501</v>
      </c>
      <c r="AR47" s="17"/>
      <c r="AS47" s="17">
        <v>0</v>
      </c>
      <c r="AT47" s="17"/>
      <c r="AU47" s="17">
        <v>7.3066215282224203</v>
      </c>
      <c r="AV47" s="17">
        <v>200</v>
      </c>
      <c r="AW47" s="17">
        <v>0</v>
      </c>
      <c r="AX47">
        <v>26.5647175039317</v>
      </c>
    </row>
    <row r="48" spans="1:50" ht="15" x14ac:dyDescent="0.25">
      <c r="A48" s="17"/>
      <c r="B48" s="672" t="s">
        <v>193</v>
      </c>
      <c r="C48" s="9">
        <v>1.397</v>
      </c>
      <c r="D48" s="452"/>
      <c r="E48" s="17"/>
      <c r="F48" s="17"/>
      <c r="G48" s="679" t="s">
        <v>135</v>
      </c>
      <c r="H48" s="680">
        <v>60</v>
      </c>
      <c r="I48" s="9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>
        <v>0</v>
      </c>
      <c r="AD48" s="17">
        <v>36.986484376495703</v>
      </c>
      <c r="AE48" s="17">
        <v>780</v>
      </c>
      <c r="AF48" s="102">
        <v>0</v>
      </c>
      <c r="AG48" s="9">
        <v>0</v>
      </c>
      <c r="AH48" s="9">
        <v>0</v>
      </c>
      <c r="AI48" s="17">
        <v>0</v>
      </c>
      <c r="AJ48" s="17"/>
      <c r="AK48" s="17">
        <v>0</v>
      </c>
      <c r="AL48" s="17"/>
      <c r="AM48" s="17">
        <v>0</v>
      </c>
      <c r="AN48" s="17">
        <v>0</v>
      </c>
      <c r="AO48" s="17"/>
      <c r="AP48" s="17"/>
      <c r="AQ48" s="17">
        <v>25.356975935441099</v>
      </c>
      <c r="AR48" s="17"/>
      <c r="AS48" s="17">
        <v>0</v>
      </c>
      <c r="AT48" s="17"/>
      <c r="AU48" s="17">
        <v>5.5684658752067104</v>
      </c>
      <c r="AV48" s="17">
        <v>190</v>
      </c>
      <c r="AW48" s="17">
        <v>0</v>
      </c>
      <c r="AX48">
        <v>26.744971602366199</v>
      </c>
    </row>
    <row r="49" spans="1:50" ht="15" x14ac:dyDescent="0.25">
      <c r="A49" s="17"/>
      <c r="B49" s="672" t="s">
        <v>194</v>
      </c>
      <c r="C49" s="9">
        <v>6.1280522599999996</v>
      </c>
      <c r="D49" s="452"/>
      <c r="E49" s="17"/>
      <c r="F49" s="17"/>
      <c r="G49" s="681" t="s">
        <v>136</v>
      </c>
      <c r="H49" s="681">
        <v>38</v>
      </c>
      <c r="I49" s="682">
        <v>440.15551710899803</v>
      </c>
      <c r="J49" s="9"/>
      <c r="K49" s="683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>
        <v>0</v>
      </c>
      <c r="AD49" s="17">
        <v>37.727214576914797</v>
      </c>
      <c r="AE49" s="17">
        <v>810</v>
      </c>
      <c r="AF49" s="102">
        <v>0</v>
      </c>
      <c r="AG49" s="9">
        <v>0</v>
      </c>
      <c r="AH49" s="9">
        <v>0</v>
      </c>
      <c r="AI49" s="17">
        <v>0</v>
      </c>
      <c r="AJ49" s="17"/>
      <c r="AK49" s="17">
        <v>0</v>
      </c>
      <c r="AL49" s="17"/>
      <c r="AM49" s="17">
        <v>0</v>
      </c>
      <c r="AN49" s="17">
        <v>0</v>
      </c>
      <c r="AO49" s="17"/>
      <c r="AP49" s="17"/>
      <c r="AQ49" s="17">
        <v>24.690262425999499</v>
      </c>
      <c r="AR49" s="17"/>
      <c r="AS49" s="17">
        <v>0</v>
      </c>
      <c r="AT49" s="17"/>
      <c r="AU49" s="17">
        <v>4.1929069428424803</v>
      </c>
      <c r="AV49" s="17">
        <v>180</v>
      </c>
      <c r="AW49" s="17">
        <v>0</v>
      </c>
      <c r="AX49">
        <v>26.9399563901855</v>
      </c>
    </row>
    <row r="50" spans="1:50" ht="15" x14ac:dyDescent="0.25">
      <c r="A50" s="17"/>
      <c r="B50" s="672" t="s">
        <v>195</v>
      </c>
      <c r="C50" s="17">
        <v>40.5583173852934</v>
      </c>
      <c r="D50" s="673">
        <v>6.4981525852600601</v>
      </c>
      <c r="E50" s="17"/>
      <c r="F50" s="17"/>
      <c r="G50" s="659" t="s">
        <v>311</v>
      </c>
      <c r="H50" s="684"/>
      <c r="I50" s="685">
        <v>322</v>
      </c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>
        <v>0</v>
      </c>
      <c r="AD50" s="17">
        <v>64.597497431309193</v>
      </c>
      <c r="AE50" s="1208">
        <v>2280</v>
      </c>
      <c r="AF50" s="102">
        <v>0</v>
      </c>
      <c r="AG50" s="9">
        <v>0</v>
      </c>
      <c r="AH50" s="9">
        <v>0</v>
      </c>
      <c r="AI50" s="17">
        <v>0</v>
      </c>
      <c r="AJ50" s="17"/>
      <c r="AK50" s="17">
        <v>0</v>
      </c>
      <c r="AL50" s="17"/>
      <c r="AM50" s="17">
        <v>0</v>
      </c>
      <c r="AN50" s="17">
        <v>0</v>
      </c>
      <c r="AO50" s="17"/>
      <c r="AP50" s="17"/>
      <c r="AQ50" s="17">
        <v>24.005038819774999</v>
      </c>
      <c r="AR50" s="17"/>
      <c r="AS50" s="17">
        <v>0</v>
      </c>
      <c r="AT50" s="17"/>
      <c r="AU50" s="17">
        <v>3.6200397015320598</v>
      </c>
      <c r="AV50" s="17">
        <v>170</v>
      </c>
      <c r="AW50" s="17">
        <v>0</v>
      </c>
      <c r="AX50">
        <v>27.153219377315502</v>
      </c>
    </row>
    <row r="51" spans="1:50" ht="15" x14ac:dyDescent="0.25">
      <c r="A51" s="17"/>
      <c r="B51" s="672" t="s">
        <v>196</v>
      </c>
      <c r="C51" s="9">
        <v>0</v>
      </c>
      <c r="D51" s="673"/>
      <c r="E51" s="17"/>
      <c r="F51" s="17"/>
      <c r="G51" s="659" t="s">
        <v>338</v>
      </c>
      <c r="H51" s="684"/>
      <c r="I51" s="685">
        <v>7690.8</v>
      </c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>
        <v>0</v>
      </c>
      <c r="AD51" s="17">
        <v>81.670028565662605</v>
      </c>
      <c r="AE51" s="17">
        <v>3600</v>
      </c>
      <c r="AF51" s="102">
        <v>0</v>
      </c>
      <c r="AG51" s="9">
        <v>0</v>
      </c>
      <c r="AH51" s="9">
        <v>0</v>
      </c>
      <c r="AI51" s="17">
        <v>0</v>
      </c>
      <c r="AJ51" s="17"/>
      <c r="AK51" s="17">
        <v>0</v>
      </c>
      <c r="AL51" s="17"/>
      <c r="AM51" s="17">
        <v>0</v>
      </c>
      <c r="AN51" s="17">
        <v>0</v>
      </c>
      <c r="AO51" s="17"/>
      <c r="AP51" s="17"/>
      <c r="AQ51" s="17">
        <v>23.2996720752264</v>
      </c>
      <c r="AR51" s="17"/>
      <c r="AS51" s="17">
        <v>0</v>
      </c>
      <c r="AT51" s="17"/>
      <c r="AU51" s="17">
        <v>0</v>
      </c>
      <c r="AV51" s="17">
        <v>160</v>
      </c>
      <c r="AW51" s="17">
        <v>0</v>
      </c>
      <c r="AX51">
        <v>70</v>
      </c>
    </row>
    <row r="52" spans="1:50" x14ac:dyDescent="0.2">
      <c r="A52" s="17"/>
      <c r="B52" s="417" t="s">
        <v>200</v>
      </c>
      <c r="C52" s="430">
        <v>0</v>
      </c>
      <c r="D52" s="67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>
        <v>22.5722738971347</v>
      </c>
      <c r="AR52" s="17"/>
      <c r="AS52" s="17"/>
      <c r="AT52" s="17"/>
      <c r="AU52" s="17"/>
      <c r="AV52" s="17">
        <v>150</v>
      </c>
      <c r="AW52" s="17">
        <v>0</v>
      </c>
    </row>
    <row r="53" spans="1:50" x14ac:dyDescent="0.2">
      <c r="A53" s="17"/>
      <c r="B53" s="17"/>
      <c r="C53" s="17"/>
      <c r="D53" s="17"/>
      <c r="E53" s="54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>
        <v>21.820641121686801</v>
      </c>
      <c r="AR53" s="17"/>
      <c r="AS53" s="17"/>
      <c r="AT53" s="17"/>
      <c r="AU53" s="17"/>
      <c r="AV53" s="17">
        <v>140</v>
      </c>
      <c r="AW53" s="17">
        <v>0</v>
      </c>
    </row>
    <row r="54" spans="1:50" x14ac:dyDescent="0.2">
      <c r="A54" s="17"/>
      <c r="B54" s="17"/>
      <c r="C54" s="17"/>
      <c r="D54" s="17"/>
      <c r="E54" s="17"/>
      <c r="F54" s="17"/>
      <c r="G54" s="17"/>
      <c r="H54" s="645" t="s">
        <v>309</v>
      </c>
      <c r="I54" s="431"/>
      <c r="J54" s="671">
        <v>0</v>
      </c>
      <c r="K54" s="17" t="s">
        <v>22</v>
      </c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>
        <v>21.0421769081916</v>
      </c>
      <c r="AR54" s="17"/>
      <c r="AS54" s="17"/>
      <c r="AT54" s="17"/>
      <c r="AU54" s="17"/>
      <c r="AV54" s="17">
        <v>130</v>
      </c>
      <c r="AW54" s="17">
        <v>0</v>
      </c>
    </row>
    <row r="55" spans="1:50" ht="15" x14ac:dyDescent="0.25">
      <c r="A55" s="17"/>
      <c r="B55" s="17"/>
      <c r="C55" s="17"/>
      <c r="D55" s="17"/>
      <c r="E55" s="17"/>
      <c r="F55" s="17"/>
      <c r="G55" s="17"/>
      <c r="H55" s="678"/>
      <c r="I55" s="9"/>
      <c r="J55" s="687">
        <v>0</v>
      </c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>
        <v>20.233784596802799</v>
      </c>
      <c r="AR55" s="17"/>
      <c r="AS55" s="17"/>
      <c r="AT55" s="17"/>
      <c r="AU55" s="17"/>
      <c r="AV55" s="17">
        <v>120</v>
      </c>
      <c r="AW55" s="17">
        <v>0</v>
      </c>
    </row>
    <row r="56" spans="1:50" ht="15" x14ac:dyDescent="0.25">
      <c r="A56" s="17"/>
      <c r="B56" s="688" t="s">
        <v>161</v>
      </c>
      <c r="C56" s="689"/>
      <c r="D56" s="689"/>
      <c r="E56" s="690"/>
      <c r="F56" s="9"/>
      <c r="G56" s="17"/>
      <c r="H56" s="672" t="s">
        <v>174</v>
      </c>
      <c r="I56" s="9"/>
      <c r="J56" s="691">
        <v>0</v>
      </c>
      <c r="K56" s="17" t="s">
        <v>175</v>
      </c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>
        <v>19.391721666319299</v>
      </c>
      <c r="AR56" s="17"/>
      <c r="AS56" s="17"/>
      <c r="AT56" s="17"/>
      <c r="AU56" s="17"/>
      <c r="AV56" s="17">
        <v>110</v>
      </c>
      <c r="AW56" s="17">
        <v>0</v>
      </c>
    </row>
    <row r="57" spans="1:50" ht="15" x14ac:dyDescent="0.25">
      <c r="A57" s="17"/>
      <c r="B57" s="418" t="s">
        <v>95</v>
      </c>
      <c r="C57" s="431"/>
      <c r="D57" s="646">
        <v>0</v>
      </c>
      <c r="E57" s="686"/>
      <c r="F57" s="9"/>
      <c r="G57" s="17"/>
      <c r="H57" s="672" t="s">
        <v>176</v>
      </c>
      <c r="I57" s="9"/>
      <c r="J57" s="691">
        <v>0</v>
      </c>
      <c r="K57" s="9" t="s">
        <v>175</v>
      </c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>
        <v>18.511393768654401</v>
      </c>
      <c r="AR57" s="17"/>
      <c r="AS57" s="17"/>
      <c r="AT57" s="17"/>
      <c r="AU57" s="17"/>
      <c r="AV57" s="17">
        <v>100</v>
      </c>
      <c r="AW57" s="17">
        <v>0</v>
      </c>
    </row>
    <row r="58" spans="1:50" ht="15" x14ac:dyDescent="0.25">
      <c r="A58" s="9"/>
      <c r="B58" s="678" t="s">
        <v>97</v>
      </c>
      <c r="C58" s="17"/>
      <c r="D58" s="682">
        <v>180</v>
      </c>
      <c r="E58" s="452" t="s">
        <v>175</v>
      </c>
      <c r="F58" s="9"/>
      <c r="G58" s="17"/>
      <c r="H58" s="672" t="s">
        <v>177</v>
      </c>
      <c r="I58" s="9"/>
      <c r="J58" s="691">
        <v>0</v>
      </c>
      <c r="K58" s="9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>
        <v>17.587055732337902</v>
      </c>
      <c r="AR58" s="17"/>
      <c r="AS58" s="17"/>
      <c r="AT58" s="17"/>
      <c r="AU58" s="17"/>
      <c r="AV58" s="17">
        <v>90</v>
      </c>
      <c r="AW58" s="17">
        <v>0</v>
      </c>
    </row>
    <row r="59" spans="1:50" ht="15" x14ac:dyDescent="0.25">
      <c r="A59" s="17"/>
      <c r="B59" s="678" t="s">
        <v>313</v>
      </c>
      <c r="C59" s="17"/>
      <c r="D59" s="102">
        <v>0.13</v>
      </c>
      <c r="E59" s="452"/>
      <c r="F59" s="9"/>
      <c r="G59" s="17"/>
      <c r="H59" s="692" t="s">
        <v>310</v>
      </c>
      <c r="I59" s="693"/>
      <c r="J59" s="694">
        <v>0</v>
      </c>
      <c r="K59" s="9" t="s">
        <v>237</v>
      </c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>
        <v>16.611362358534699</v>
      </c>
      <c r="AR59" s="17"/>
      <c r="AS59" s="17"/>
      <c r="AT59" s="17"/>
      <c r="AU59" s="17"/>
      <c r="AV59" s="17">
        <v>80</v>
      </c>
      <c r="AW59" s="17">
        <v>0</v>
      </c>
    </row>
    <row r="60" spans="1:50" ht="15" x14ac:dyDescent="0.25">
      <c r="A60" s="17"/>
      <c r="B60" s="678" t="s">
        <v>162</v>
      </c>
      <c r="C60" s="17"/>
      <c r="D60" s="17"/>
      <c r="E60" s="695">
        <v>49.821119495630803</v>
      </c>
      <c r="F60" s="9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>
        <v>15.574664987752501</v>
      </c>
      <c r="AR60" s="17"/>
      <c r="AS60" s="17"/>
      <c r="AT60" s="17"/>
      <c r="AU60" s="17"/>
      <c r="AV60" s="17">
        <v>70</v>
      </c>
      <c r="AW60" s="17">
        <v>0</v>
      </c>
    </row>
    <row r="61" spans="1:50" x14ac:dyDescent="0.2">
      <c r="A61" s="17"/>
      <c r="B61" s="678" t="s">
        <v>314</v>
      </c>
      <c r="C61" s="17"/>
      <c r="D61" s="9">
        <v>6.4767455344320002</v>
      </c>
      <c r="E61" s="452"/>
      <c r="F61" s="9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>
        <v>14.463852168592799</v>
      </c>
      <c r="AR61" s="17"/>
      <c r="AS61" s="17"/>
      <c r="AT61" s="17"/>
      <c r="AU61" s="17"/>
      <c r="AV61" s="17">
        <v>60</v>
      </c>
      <c r="AW61" s="17">
        <v>0</v>
      </c>
    </row>
    <row r="62" spans="1:50" x14ac:dyDescent="0.2">
      <c r="A62" s="17"/>
      <c r="B62" s="678" t="s">
        <v>164</v>
      </c>
      <c r="C62" s="17"/>
      <c r="D62" s="9">
        <v>8.0674759498218407</v>
      </c>
      <c r="E62" s="452" t="s">
        <v>237</v>
      </c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>
        <v>13.260311068338099</v>
      </c>
      <c r="AR62" s="17"/>
      <c r="AS62" s="17"/>
      <c r="AT62" s="17"/>
      <c r="AU62" s="17"/>
      <c r="AV62" s="17">
        <v>50</v>
      </c>
      <c r="AW62" s="17">
        <v>0</v>
      </c>
    </row>
    <row r="63" spans="1:50" x14ac:dyDescent="0.2">
      <c r="A63" s="17"/>
      <c r="B63" s="672" t="s">
        <v>318</v>
      </c>
      <c r="C63" s="17"/>
      <c r="D63" s="9">
        <v>3.59215281568</v>
      </c>
      <c r="E63" s="452" t="s">
        <v>319</v>
      </c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>
        <v>11.9360244513519</v>
      </c>
      <c r="AR63" s="17"/>
      <c r="AS63" s="17"/>
      <c r="AT63" s="17"/>
      <c r="AU63" s="17"/>
      <c r="AV63" s="17">
        <v>40</v>
      </c>
      <c r="AW63" s="17">
        <v>0</v>
      </c>
    </row>
    <row r="64" spans="1:50" x14ac:dyDescent="0.2">
      <c r="A64" s="17"/>
      <c r="B64" s="672" t="s">
        <v>108</v>
      </c>
      <c r="C64" s="9"/>
      <c r="D64" s="562">
        <v>1.1999999999999999E-3</v>
      </c>
      <c r="E64" s="673" t="s">
        <v>237</v>
      </c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>
        <v>10.445166814247299</v>
      </c>
      <c r="AR64" s="17"/>
      <c r="AS64" s="17"/>
      <c r="AT64" s="17"/>
      <c r="AU64" s="17"/>
      <c r="AV64" s="17">
        <v>30</v>
      </c>
      <c r="AW64" s="17">
        <v>0</v>
      </c>
    </row>
    <row r="65" spans="1:49" ht="15" x14ac:dyDescent="0.25">
      <c r="A65" s="17"/>
      <c r="B65" s="697" t="s">
        <v>165</v>
      </c>
      <c r="C65" s="562"/>
      <c r="D65" s="698">
        <v>1.2057142911354199E-3</v>
      </c>
      <c r="E65" s="673" t="s">
        <v>237</v>
      </c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>
        <v>8.7025478942454395</v>
      </c>
      <c r="AR65" s="17"/>
      <c r="AS65" s="17"/>
      <c r="AT65" s="17"/>
      <c r="AU65" s="17"/>
      <c r="AV65" s="17">
        <v>20</v>
      </c>
      <c r="AW65" s="17">
        <v>0</v>
      </c>
    </row>
    <row r="66" spans="1:49" ht="15" x14ac:dyDescent="0.25">
      <c r="A66" s="17"/>
      <c r="B66" s="672" t="s">
        <v>166</v>
      </c>
      <c r="C66" s="9"/>
      <c r="D66" s="683" t="s">
        <v>167</v>
      </c>
      <c r="E66" s="452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>
        <v>6.5090068309856504</v>
      </c>
      <c r="AR66" s="17"/>
      <c r="AS66" s="17"/>
      <c r="AT66" s="17"/>
      <c r="AU66" s="17"/>
      <c r="AV66" s="17">
        <v>10</v>
      </c>
      <c r="AW66" s="17">
        <v>0</v>
      </c>
    </row>
    <row r="67" spans="1:49" ht="15" x14ac:dyDescent="0.25">
      <c r="A67" s="17"/>
      <c r="B67" s="697" t="s">
        <v>322</v>
      </c>
      <c r="C67" s="562"/>
      <c r="D67" s="698">
        <v>1.1411913572008299E-2</v>
      </c>
      <c r="E67" s="673" t="s">
        <v>319</v>
      </c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</row>
    <row r="68" spans="1:49" x14ac:dyDescent="0.2">
      <c r="A68" s="17"/>
      <c r="B68" s="678" t="s">
        <v>323</v>
      </c>
      <c r="C68" s="17"/>
      <c r="D68" s="562">
        <v>0</v>
      </c>
      <c r="E68" s="452" t="s">
        <v>324</v>
      </c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</row>
    <row r="69" spans="1:49" ht="15" x14ac:dyDescent="0.25">
      <c r="A69" s="17"/>
      <c r="B69" s="699" t="s">
        <v>325</v>
      </c>
      <c r="C69" s="430"/>
      <c r="D69" s="700">
        <v>20.0086738158233</v>
      </c>
      <c r="E69" s="677" t="s">
        <v>326</v>
      </c>
      <c r="F69" s="9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</row>
    <row r="70" spans="1:49" x14ac:dyDescent="0.2">
      <c r="A70" s="17"/>
      <c r="B70" s="17"/>
      <c r="C70" s="17"/>
      <c r="D70" s="17"/>
      <c r="E70" s="17"/>
      <c r="F70" s="9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</row>
    <row r="71" spans="1:49" x14ac:dyDescent="0.2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400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</row>
    <row r="72" spans="1:49" x14ac:dyDescent="0.2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</row>
    <row r="73" spans="1:49" x14ac:dyDescent="0.2">
      <c r="A73" s="688" t="s">
        <v>340</v>
      </c>
      <c r="B73" s="689"/>
      <c r="C73" s="689"/>
      <c r="D73" s="690"/>
      <c r="E73" s="17"/>
      <c r="F73" s="17"/>
      <c r="G73" s="17"/>
      <c r="H73" s="17"/>
      <c r="I73" s="17"/>
      <c r="J73" s="17"/>
      <c r="K73" s="17"/>
      <c r="L73" s="9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</row>
    <row r="74" spans="1:49" ht="15" x14ac:dyDescent="0.25">
      <c r="A74" s="672" t="s">
        <v>331</v>
      </c>
      <c r="B74" s="9"/>
      <c r="C74" s="102" t="s">
        <v>12</v>
      </c>
      <c r="D74" s="673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9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</row>
    <row r="75" spans="1:49" ht="15" x14ac:dyDescent="0.25">
      <c r="A75" s="672" t="s">
        <v>332</v>
      </c>
      <c r="B75" s="9"/>
      <c r="C75" s="102">
        <v>0</v>
      </c>
      <c r="D75" s="673" t="s">
        <v>237</v>
      </c>
      <c r="E75" s="17"/>
      <c r="F75" s="17"/>
      <c r="G75" s="17"/>
      <c r="H75" s="17"/>
      <c r="I75" s="17"/>
      <c r="J75" s="17"/>
      <c r="K75" s="17"/>
      <c r="L75" s="17"/>
      <c r="M75" s="9"/>
      <c r="N75" s="9"/>
      <c r="O75" s="9"/>
      <c r="P75" s="9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</row>
    <row r="76" spans="1:49" x14ac:dyDescent="0.2">
      <c r="A76" s="672" t="s">
        <v>341</v>
      </c>
      <c r="B76" s="9" t="s">
        <v>240</v>
      </c>
      <c r="C76" s="9">
        <v>0</v>
      </c>
      <c r="D76" s="673" t="s">
        <v>237</v>
      </c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</row>
    <row r="77" spans="1:49" x14ac:dyDescent="0.2">
      <c r="A77" s="672"/>
      <c r="B77" s="9" t="s">
        <v>342</v>
      </c>
      <c r="C77" s="9">
        <v>0</v>
      </c>
      <c r="D77" s="452" t="s">
        <v>237</v>
      </c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</row>
    <row r="78" spans="1:49" ht="15" x14ac:dyDescent="0.25">
      <c r="A78" s="672" t="s">
        <v>171</v>
      </c>
      <c r="B78" s="9"/>
      <c r="C78" s="102">
        <v>25.196885715864699</v>
      </c>
      <c r="D78" s="673" t="s">
        <v>237</v>
      </c>
      <c r="E78" s="17"/>
      <c r="F78" s="17"/>
      <c r="G78" s="17"/>
      <c r="H78" s="17"/>
      <c r="I78" s="17"/>
      <c r="J78" s="17"/>
      <c r="K78" s="17"/>
      <c r="L78" s="9"/>
      <c r="M78" s="17"/>
      <c r="N78" s="17"/>
      <c r="O78" s="17"/>
      <c r="P78" s="9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</row>
    <row r="79" spans="1:49" ht="15" x14ac:dyDescent="0.25">
      <c r="A79" s="672" t="s">
        <v>172</v>
      </c>
      <c r="B79" s="17"/>
      <c r="C79" s="701">
        <v>26.001303285325299</v>
      </c>
      <c r="D79" s="673" t="s">
        <v>237</v>
      </c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9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</row>
    <row r="80" spans="1:49" ht="15" x14ac:dyDescent="0.25">
      <c r="A80" s="417" t="s">
        <v>173</v>
      </c>
      <c r="B80" s="675"/>
      <c r="C80" s="702">
        <v>51.198189001190002</v>
      </c>
      <c r="D80" s="469" t="s">
        <v>237</v>
      </c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9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</row>
    <row r="81" spans="1:49" x14ac:dyDescent="0.2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9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</row>
    <row r="82" spans="1:49" ht="15" x14ac:dyDescent="0.25">
      <c r="A82" s="672" t="s">
        <v>343</v>
      </c>
      <c r="B82" s="9"/>
      <c r="C82" s="102">
        <v>3</v>
      </c>
      <c r="D82" s="673" t="s">
        <v>344</v>
      </c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9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</row>
    <row r="83" spans="1:49" ht="15" x14ac:dyDescent="0.25">
      <c r="A83" s="672" t="s">
        <v>345</v>
      </c>
      <c r="B83" s="9"/>
      <c r="C83" s="102">
        <v>126.112527690443</v>
      </c>
      <c r="D83" s="673" t="s">
        <v>344</v>
      </c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</row>
    <row r="84" spans="1:49" x14ac:dyDescent="0.2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</row>
    <row r="87" spans="1:49" x14ac:dyDescent="0.2">
      <c r="A87" s="17" t="s">
        <v>329</v>
      </c>
    </row>
    <row r="91" spans="1:49" x14ac:dyDescent="0.2">
      <c r="A91" s="703" t="s">
        <v>346</v>
      </c>
    </row>
    <row r="94" spans="1:49" x14ac:dyDescent="0.2">
      <c r="A94" s="17"/>
      <c r="B94" s="9"/>
      <c r="C94" s="9"/>
      <c r="D94" s="9"/>
      <c r="E94" s="9"/>
    </row>
    <row r="95" spans="1:49" x14ac:dyDescent="0.2">
      <c r="A95" s="17"/>
      <c r="B95" s="17"/>
      <c r="C95" s="17"/>
      <c r="D95" s="17"/>
      <c r="E95" s="9"/>
    </row>
    <row r="96" spans="1:49" x14ac:dyDescent="0.2">
      <c r="A96" s="17"/>
      <c r="B96" s="120" t="s">
        <v>39</v>
      </c>
      <c r="C96" s="17">
        <v>0</v>
      </c>
      <c r="D96" s="17"/>
      <c r="E96" s="17"/>
    </row>
    <row r="97" spans="1:11" x14ac:dyDescent="0.2">
      <c r="A97" s="17"/>
      <c r="B97" s="120" t="s">
        <v>43</v>
      </c>
      <c r="C97" s="17">
        <v>0</v>
      </c>
      <c r="D97" s="17"/>
      <c r="E97" s="17"/>
    </row>
    <row r="98" spans="1:11" x14ac:dyDescent="0.2">
      <c r="A98" s="17"/>
      <c r="B98" s="120" t="s">
        <v>371</v>
      </c>
      <c r="C98" s="9">
        <v>1112.565687283</v>
      </c>
      <c r="D98" s="17"/>
      <c r="E98" s="9"/>
    </row>
    <row r="99" spans="1:11" x14ac:dyDescent="0.2">
      <c r="A99" s="17"/>
      <c r="B99" s="145" t="s">
        <v>51</v>
      </c>
      <c r="C99" s="17">
        <v>2367.1610367723401</v>
      </c>
      <c r="D99" s="17"/>
      <c r="E99" s="9"/>
    </row>
    <row r="100" spans="1:11" x14ac:dyDescent="0.2">
      <c r="A100" s="17"/>
      <c r="B100" s="17"/>
      <c r="C100" s="17"/>
      <c r="D100" s="17"/>
      <c r="E100" s="9"/>
    </row>
    <row r="101" spans="1:11" x14ac:dyDescent="0.2">
      <c r="A101" s="17"/>
      <c r="B101" s="714" t="s">
        <v>125</v>
      </c>
      <c r="C101" s="1209"/>
      <c r="D101" s="1210">
        <v>0</v>
      </c>
      <c r="E101" s="9"/>
    </row>
    <row r="102" spans="1:11" x14ac:dyDescent="0.2">
      <c r="A102" s="17"/>
      <c r="B102" s="17"/>
      <c r="C102" s="17"/>
      <c r="D102" s="17"/>
      <c r="E102" s="17"/>
    </row>
    <row r="105" spans="1:11" x14ac:dyDescent="0.2">
      <c r="A105" s="9"/>
      <c r="B105" s="9"/>
      <c r="C105" s="9"/>
      <c r="D105" s="9"/>
      <c r="E105" s="9"/>
      <c r="F105" s="9"/>
      <c r="G105" s="9"/>
      <c r="H105" s="9"/>
      <c r="I105" s="9"/>
      <c r="J105" s="17"/>
      <c r="K105" s="17"/>
    </row>
    <row r="106" spans="1:11" x14ac:dyDescent="0.2">
      <c r="A106" s="9"/>
      <c r="B106" s="9"/>
      <c r="C106" s="9"/>
      <c r="D106" s="9"/>
      <c r="E106" s="9"/>
      <c r="F106" s="9"/>
      <c r="G106" s="9"/>
      <c r="H106" s="9"/>
      <c r="I106" s="9"/>
      <c r="J106" s="17"/>
      <c r="K106" s="17"/>
    </row>
    <row r="107" spans="1:11" ht="14.25" x14ac:dyDescent="0.2">
      <c r="A107" s="17"/>
      <c r="B107" s="110" t="s">
        <v>330</v>
      </c>
      <c r="C107" s="111"/>
      <c r="D107" s="111"/>
      <c r="E107" s="111"/>
      <c r="F107" s="1187"/>
      <c r="G107" s="17"/>
      <c r="H107" s="9"/>
      <c r="I107" s="9"/>
      <c r="J107" s="17"/>
      <c r="K107" s="17"/>
    </row>
    <row r="108" spans="1:11" ht="15" x14ac:dyDescent="0.25">
      <c r="A108" s="17"/>
      <c r="B108" s="293" t="s">
        <v>169</v>
      </c>
      <c r="C108" s="158"/>
      <c r="D108" s="1211"/>
      <c r="E108" s="17"/>
      <c r="F108" s="671"/>
      <c r="G108" s="9"/>
      <c r="H108" s="9"/>
      <c r="I108" s="9"/>
      <c r="J108" s="17"/>
      <c r="K108" s="17"/>
    </row>
    <row r="109" spans="1:11" ht="15" x14ac:dyDescent="0.25">
      <c r="A109" s="17"/>
      <c r="B109" s="299" t="s">
        <v>332</v>
      </c>
      <c r="C109" s="140"/>
      <c r="D109" s="1212"/>
      <c r="E109" s="17"/>
      <c r="F109" s="1213" t="s">
        <v>48</v>
      </c>
      <c r="G109" s="17"/>
      <c r="H109" s="9"/>
      <c r="I109" s="9"/>
      <c r="J109" s="17"/>
      <c r="K109" s="17"/>
    </row>
    <row r="110" spans="1:11" ht="15" x14ac:dyDescent="0.25">
      <c r="A110" s="17"/>
      <c r="B110" s="299" t="s">
        <v>171</v>
      </c>
      <c r="C110" s="140"/>
      <c r="D110" s="1212"/>
      <c r="E110" s="17"/>
      <c r="F110" s="1213" t="s">
        <v>48</v>
      </c>
      <c r="G110" s="17"/>
      <c r="H110" s="9"/>
      <c r="I110" s="9"/>
      <c r="J110" s="17"/>
      <c r="K110" s="17"/>
    </row>
    <row r="111" spans="1:11" ht="15" x14ac:dyDescent="0.25">
      <c r="A111" s="17"/>
      <c r="B111" s="299" t="s">
        <v>172</v>
      </c>
      <c r="C111" s="117"/>
      <c r="D111" s="1214"/>
      <c r="E111" s="17"/>
      <c r="F111" s="1213" t="s">
        <v>48</v>
      </c>
      <c r="G111" s="17"/>
      <c r="H111" s="9"/>
      <c r="I111" s="9"/>
      <c r="J111" s="17"/>
      <c r="K111" s="17"/>
    </row>
    <row r="112" spans="1:11" ht="15" x14ac:dyDescent="0.25">
      <c r="A112" s="17"/>
      <c r="B112" s="299" t="s">
        <v>173</v>
      </c>
      <c r="C112" s="140"/>
      <c r="D112" s="1212"/>
      <c r="E112" s="17"/>
      <c r="F112" s="1213" t="s">
        <v>48</v>
      </c>
      <c r="G112" s="17"/>
      <c r="H112" s="9"/>
      <c r="I112" s="9"/>
      <c r="J112" s="17"/>
      <c r="K112" s="17"/>
    </row>
    <row r="113" spans="1:11" ht="15" x14ac:dyDescent="0.25">
      <c r="A113" s="17"/>
      <c r="B113" s="299" t="s">
        <v>174</v>
      </c>
      <c r="C113" s="140"/>
      <c r="D113" s="140"/>
      <c r="E113" s="17"/>
      <c r="F113" s="1213" t="s">
        <v>175</v>
      </c>
      <c r="G113" s="17"/>
      <c r="H113" s="9"/>
      <c r="I113" s="9"/>
      <c r="J113" s="17"/>
      <c r="K113" s="17"/>
    </row>
    <row r="114" spans="1:11" ht="15" x14ac:dyDescent="0.25">
      <c r="A114" s="17"/>
      <c r="B114" s="299" t="s">
        <v>176</v>
      </c>
      <c r="C114" s="140"/>
      <c r="D114" s="140"/>
      <c r="E114" s="17"/>
      <c r="F114" s="1213" t="s">
        <v>175</v>
      </c>
      <c r="G114" s="17"/>
      <c r="H114" s="9"/>
      <c r="I114" s="9"/>
      <c r="J114" s="17"/>
      <c r="K114" s="17"/>
    </row>
    <row r="115" spans="1:11" ht="15" x14ac:dyDescent="0.25">
      <c r="A115" s="17"/>
      <c r="B115" s="131" t="s">
        <v>177</v>
      </c>
      <c r="C115" s="1215"/>
      <c r="D115" s="1215"/>
      <c r="E115" s="17"/>
      <c r="F115" s="1150" t="s">
        <v>46</v>
      </c>
      <c r="G115" s="17"/>
      <c r="H115" s="9"/>
      <c r="I115" s="9"/>
      <c r="J115" s="17"/>
      <c r="K115" s="17"/>
    </row>
    <row r="116" spans="1:11" x14ac:dyDescent="0.2">
      <c r="A116" s="17"/>
      <c r="B116" s="9"/>
      <c r="C116" s="9"/>
      <c r="D116" s="9"/>
      <c r="E116" s="9"/>
      <c r="F116" s="9"/>
      <c r="G116" s="9"/>
      <c r="H116" s="9"/>
      <c r="I116" s="9"/>
      <c r="J116" s="17"/>
      <c r="K116" s="17"/>
    </row>
    <row r="117" spans="1:11" x14ac:dyDescent="0.2">
      <c r="A117" s="9"/>
      <c r="B117" s="9"/>
      <c r="C117" s="9"/>
      <c r="D117" s="9"/>
      <c r="E117" s="9"/>
      <c r="F117" s="9"/>
      <c r="G117" s="9"/>
      <c r="H117" s="9"/>
      <c r="I117" s="9"/>
      <c r="J117" s="17"/>
      <c r="K117" s="17"/>
    </row>
    <row r="118" spans="1:11" x14ac:dyDescent="0.2">
      <c r="A118" s="9"/>
      <c r="B118" s="9"/>
      <c r="C118" s="9"/>
      <c r="D118" s="9"/>
      <c r="E118" s="9"/>
      <c r="F118" s="9"/>
      <c r="G118" s="9"/>
      <c r="H118" s="9"/>
      <c r="I118" s="9"/>
      <c r="J118" s="17"/>
      <c r="K118" s="17"/>
    </row>
    <row r="119" spans="1:11" x14ac:dyDescent="0.2">
      <c r="A119" s="9"/>
      <c r="B119" s="9"/>
      <c r="C119" s="9"/>
      <c r="D119" s="9"/>
      <c r="E119" s="9"/>
      <c r="F119" s="9"/>
      <c r="G119" s="9"/>
      <c r="H119" s="9"/>
      <c r="I119" s="9"/>
      <c r="J119" s="17"/>
      <c r="K119" s="17"/>
    </row>
    <row r="120" spans="1:1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17"/>
      <c r="K120" s="17"/>
    </row>
    <row r="121" spans="1:11" x14ac:dyDescent="0.2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</row>
    <row r="122" spans="1:11" ht="14.25" x14ac:dyDescent="0.2">
      <c r="A122" s="17"/>
      <c r="B122" s="110" t="s">
        <v>178</v>
      </c>
      <c r="C122" s="111"/>
      <c r="D122" s="111"/>
      <c r="E122" s="111"/>
      <c r="F122" s="1187"/>
      <c r="G122" s="17"/>
      <c r="H122" s="17"/>
      <c r="I122" s="17"/>
      <c r="J122" s="17"/>
      <c r="K122" s="17"/>
    </row>
    <row r="123" spans="1:11" x14ac:dyDescent="0.2">
      <c r="A123" s="17"/>
      <c r="B123" s="293" t="s">
        <v>331</v>
      </c>
      <c r="C123" s="158"/>
      <c r="D123" s="1216"/>
      <c r="E123" s="17"/>
      <c r="F123" s="452"/>
      <c r="G123" s="17"/>
      <c r="H123" s="17"/>
      <c r="I123" s="17"/>
      <c r="J123" s="17"/>
      <c r="K123" s="17"/>
    </row>
    <row r="124" spans="1:11" ht="15" x14ac:dyDescent="0.25">
      <c r="A124" s="17"/>
      <c r="B124" s="299" t="s">
        <v>332</v>
      </c>
      <c r="C124" s="140"/>
      <c r="D124" s="117"/>
      <c r="E124" s="17"/>
      <c r="F124" s="1017" t="s">
        <v>48</v>
      </c>
      <c r="G124" s="17"/>
      <c r="H124" s="17"/>
      <c r="I124" s="17"/>
      <c r="J124" s="17"/>
      <c r="K124" s="17"/>
    </row>
    <row r="125" spans="1:11" ht="15" x14ac:dyDescent="0.25">
      <c r="A125" s="17"/>
      <c r="B125" s="299" t="s">
        <v>179</v>
      </c>
      <c r="C125" s="140"/>
      <c r="D125" s="117"/>
      <c r="E125" s="17"/>
      <c r="F125" s="1017" t="s">
        <v>48</v>
      </c>
      <c r="G125" s="17"/>
      <c r="H125" s="17"/>
      <c r="I125" s="17"/>
      <c r="J125" s="17"/>
      <c r="K125" s="17"/>
    </row>
    <row r="126" spans="1:11" ht="15" x14ac:dyDescent="0.25">
      <c r="A126" s="17"/>
      <c r="B126" s="299" t="s">
        <v>180</v>
      </c>
      <c r="C126" s="117"/>
      <c r="D126" s="117"/>
      <c r="E126" s="17"/>
      <c r="F126" s="1017" t="s">
        <v>48</v>
      </c>
      <c r="G126" s="17"/>
      <c r="H126" s="17"/>
      <c r="I126" s="17"/>
      <c r="J126" s="17"/>
      <c r="K126" s="17"/>
    </row>
    <row r="127" spans="1:11" ht="15" x14ac:dyDescent="0.25">
      <c r="A127" s="17"/>
      <c r="B127" s="299" t="s">
        <v>181</v>
      </c>
      <c r="C127" s="140"/>
      <c r="D127" s="117"/>
      <c r="E127" s="17"/>
      <c r="F127" s="1017" t="s">
        <v>48</v>
      </c>
      <c r="G127" s="17"/>
      <c r="H127" s="17"/>
      <c r="I127" s="17"/>
      <c r="J127" s="17"/>
      <c r="K127" s="17"/>
    </row>
    <row r="128" spans="1:11" ht="15" x14ac:dyDescent="0.25">
      <c r="A128" s="17"/>
      <c r="B128" s="299" t="s">
        <v>182</v>
      </c>
      <c r="C128" s="140"/>
      <c r="D128" s="117"/>
      <c r="E128" s="17"/>
      <c r="F128" s="1017" t="s">
        <v>175</v>
      </c>
      <c r="G128" s="17"/>
      <c r="H128" s="17"/>
      <c r="I128" s="17"/>
      <c r="J128" s="17"/>
      <c r="K128" s="17"/>
    </row>
    <row r="129" spans="1:11" ht="15" x14ac:dyDescent="0.25">
      <c r="A129" s="17"/>
      <c r="B129" s="299" t="s">
        <v>183</v>
      </c>
      <c r="C129" s="140"/>
      <c r="D129" s="117"/>
      <c r="E129" s="17"/>
      <c r="F129" s="1017" t="s">
        <v>175</v>
      </c>
      <c r="G129" s="17"/>
      <c r="H129" s="17"/>
      <c r="I129" s="17"/>
      <c r="J129" s="17"/>
      <c r="K129" s="17"/>
    </row>
    <row r="130" spans="1:11" x14ac:dyDescent="0.2">
      <c r="A130" s="17"/>
      <c r="B130" s="145" t="s">
        <v>177</v>
      </c>
      <c r="C130" s="146"/>
      <c r="D130" s="146"/>
      <c r="E130" s="17"/>
      <c r="F130" s="1099"/>
      <c r="G130" s="9"/>
      <c r="H130" s="17"/>
      <c r="I130" s="17"/>
      <c r="J130" s="17"/>
      <c r="K130" s="17"/>
    </row>
    <row r="131" spans="1:11" x14ac:dyDescent="0.2">
      <c r="A131" s="17"/>
      <c r="B131" s="9"/>
      <c r="C131" s="9"/>
      <c r="D131" s="9"/>
      <c r="E131" s="9"/>
      <c r="F131" s="9"/>
      <c r="G131" s="9"/>
      <c r="H131" s="9"/>
      <c r="I131" s="9"/>
      <c r="J131" s="17"/>
      <c r="K131" s="17"/>
    </row>
    <row r="132" spans="1:11" x14ac:dyDescent="0.2">
      <c r="A132" s="9"/>
      <c r="B132" s="9"/>
      <c r="C132" s="9"/>
      <c r="D132" s="9"/>
      <c r="E132" s="9"/>
      <c r="F132" s="9"/>
      <c r="G132" s="9"/>
      <c r="H132" s="9"/>
      <c r="I132" s="9"/>
      <c r="J132" s="17"/>
      <c r="K132" s="17"/>
    </row>
    <row r="133" spans="1:11" x14ac:dyDescent="0.2">
      <c r="A133" s="9"/>
      <c r="B133" s="9"/>
      <c r="C133" s="9"/>
      <c r="D133" s="9"/>
      <c r="E133" s="9"/>
      <c r="F133" s="9"/>
      <c r="G133" s="9"/>
      <c r="H133" s="9"/>
      <c r="I133" s="9"/>
      <c r="J133" s="17"/>
      <c r="K133" s="17"/>
    </row>
    <row r="134" spans="1:11" x14ac:dyDescent="0.2">
      <c r="A134" s="9"/>
      <c r="B134" s="9"/>
      <c r="C134" s="9"/>
      <c r="D134" s="9"/>
      <c r="E134" s="9"/>
      <c r="F134" s="9"/>
      <c r="G134" s="9"/>
      <c r="H134" s="9"/>
      <c r="I134" s="9"/>
      <c r="J134" s="17"/>
      <c r="K134" s="17"/>
    </row>
    <row r="135" spans="1:11" x14ac:dyDescent="0.2">
      <c r="A135" s="9"/>
      <c r="B135" s="9"/>
      <c r="C135" s="9"/>
      <c r="D135" s="9"/>
      <c r="E135" s="9" t="s">
        <v>385</v>
      </c>
      <c r="F135" s="9"/>
      <c r="G135" s="9"/>
      <c r="H135" s="9"/>
      <c r="I135" s="9"/>
      <c r="J135" s="17"/>
      <c r="K135" s="17"/>
    </row>
    <row r="136" spans="1:11" x14ac:dyDescent="0.2">
      <c r="A136" s="9"/>
      <c r="B136" s="9"/>
      <c r="C136" s="9"/>
      <c r="D136" s="9"/>
      <c r="E136" s="9"/>
      <c r="F136" s="9"/>
      <c r="G136" s="9"/>
      <c r="H136" s="9"/>
      <c r="I136" s="9"/>
      <c r="J136" s="17"/>
      <c r="K136" s="17"/>
    </row>
    <row r="137" spans="1:11" ht="14.25" x14ac:dyDescent="0.2">
      <c r="A137" s="17"/>
      <c r="B137" s="285" t="s">
        <v>140</v>
      </c>
      <c r="C137" s="286"/>
      <c r="D137" s="286"/>
      <c r="E137" s="716"/>
      <c r="F137" s="112"/>
      <c r="G137" s="17"/>
      <c r="H137" s="9"/>
      <c r="I137" s="9"/>
      <c r="J137" s="17"/>
      <c r="K137" s="17"/>
    </row>
    <row r="138" spans="1:11" x14ac:dyDescent="0.2">
      <c r="A138" s="17"/>
      <c r="B138" s="120" t="s">
        <v>121</v>
      </c>
      <c r="C138" s="117"/>
      <c r="D138" s="117"/>
      <c r="E138" s="17"/>
      <c r="F138" s="119"/>
      <c r="G138" s="17"/>
      <c r="H138" s="9"/>
      <c r="I138" s="9"/>
      <c r="J138" s="17"/>
      <c r="K138" s="17"/>
    </row>
    <row r="139" spans="1:11" ht="15" x14ac:dyDescent="0.25">
      <c r="A139" s="17"/>
      <c r="B139" s="293" t="s">
        <v>141</v>
      </c>
      <c r="C139" s="158"/>
      <c r="D139" s="158"/>
      <c r="E139" s="17"/>
      <c r="F139" s="1015" t="s">
        <v>22</v>
      </c>
      <c r="G139" s="17"/>
      <c r="H139" s="9"/>
      <c r="I139" s="9"/>
      <c r="J139" s="17"/>
      <c r="K139" s="17"/>
    </row>
    <row r="140" spans="1:11" ht="15" x14ac:dyDescent="0.25">
      <c r="A140" s="17"/>
      <c r="B140" s="299" t="s">
        <v>142</v>
      </c>
      <c r="C140" s="140"/>
      <c r="D140" s="117"/>
      <c r="E140" s="17"/>
      <c r="F140" s="1017" t="s">
        <v>46</v>
      </c>
      <c r="G140" s="17"/>
      <c r="H140" s="9"/>
      <c r="I140" s="9"/>
      <c r="J140" s="17"/>
      <c r="K140" s="17"/>
    </row>
    <row r="141" spans="1:11" ht="15" x14ac:dyDescent="0.25">
      <c r="A141" s="17"/>
      <c r="B141" s="299" t="s">
        <v>143</v>
      </c>
      <c r="C141" s="140"/>
      <c r="D141" s="117"/>
      <c r="E141" s="17"/>
      <c r="F141" s="1017" t="s">
        <v>27</v>
      </c>
      <c r="G141" s="17"/>
      <c r="H141" s="9"/>
      <c r="I141" s="9"/>
      <c r="J141" s="17"/>
      <c r="K141" s="17"/>
    </row>
    <row r="142" spans="1:11" ht="15" x14ac:dyDescent="0.25">
      <c r="A142" s="17"/>
      <c r="B142" s="299" t="s">
        <v>144</v>
      </c>
      <c r="C142" s="140"/>
      <c r="D142" s="117"/>
      <c r="E142" s="17"/>
      <c r="F142" s="1017" t="s">
        <v>46</v>
      </c>
      <c r="G142" s="17"/>
      <c r="H142" s="9"/>
      <c r="I142" s="9"/>
      <c r="J142" s="17"/>
      <c r="K142" s="17"/>
    </row>
    <row r="143" spans="1:11" ht="15" x14ac:dyDescent="0.25">
      <c r="A143" s="17"/>
      <c r="B143" s="299" t="s">
        <v>145</v>
      </c>
      <c r="C143" s="140"/>
      <c r="D143" s="117"/>
      <c r="E143" s="17"/>
      <c r="F143" s="1017" t="s">
        <v>27</v>
      </c>
      <c r="G143" s="17"/>
      <c r="H143" s="299" t="s">
        <v>146</v>
      </c>
      <c r="I143" s="9"/>
      <c r="J143" s="17">
        <v>263.75224851078002</v>
      </c>
      <c r="K143" s="17"/>
    </row>
    <row r="144" spans="1:11" ht="15" x14ac:dyDescent="0.25">
      <c r="A144" s="17"/>
      <c r="B144" s="299" t="s">
        <v>146</v>
      </c>
      <c r="C144" s="140"/>
      <c r="D144" s="117"/>
      <c r="E144" s="17"/>
      <c r="F144" s="1017" t="s">
        <v>73</v>
      </c>
      <c r="G144" s="17"/>
      <c r="H144" s="299" t="s">
        <v>151</v>
      </c>
      <c r="I144" s="9"/>
      <c r="J144" s="17">
        <v>845.44164346437697</v>
      </c>
      <c r="K144" s="17"/>
    </row>
    <row r="145" spans="1:11" ht="15" x14ac:dyDescent="0.25">
      <c r="A145" s="17"/>
      <c r="B145" s="299" t="s">
        <v>147</v>
      </c>
      <c r="C145" s="140"/>
      <c r="D145" s="140"/>
      <c r="E145" s="17"/>
      <c r="F145" s="1017" t="s">
        <v>148</v>
      </c>
      <c r="G145" s="17"/>
      <c r="H145" s="299" t="s">
        <v>152</v>
      </c>
      <c r="I145" s="9"/>
      <c r="J145" s="17">
        <v>0</v>
      </c>
      <c r="K145" s="17"/>
    </row>
    <row r="146" spans="1:11" ht="15" x14ac:dyDescent="0.25">
      <c r="A146" s="17"/>
      <c r="B146" s="299" t="s">
        <v>149</v>
      </c>
      <c r="C146" s="140"/>
      <c r="D146" s="140"/>
      <c r="E146" s="17"/>
      <c r="F146" s="1017" t="s">
        <v>382</v>
      </c>
      <c r="G146" s="17"/>
      <c r="H146" s="9"/>
      <c r="I146" s="9"/>
      <c r="J146" s="17"/>
      <c r="K146" s="17"/>
    </row>
    <row r="147" spans="1:11" ht="15" x14ac:dyDescent="0.25">
      <c r="A147" s="9"/>
      <c r="B147" s="299" t="s">
        <v>151</v>
      </c>
      <c r="C147" s="140"/>
      <c r="D147" s="140"/>
      <c r="E147" s="17"/>
      <c r="F147" s="1017" t="s">
        <v>48</v>
      </c>
      <c r="G147" s="17"/>
      <c r="H147" s="9"/>
      <c r="I147" s="9"/>
      <c r="J147" s="17"/>
      <c r="K147" s="17"/>
    </row>
    <row r="148" spans="1:11" ht="15" x14ac:dyDescent="0.25">
      <c r="A148" s="9"/>
      <c r="B148" s="299" t="s">
        <v>152</v>
      </c>
      <c r="C148" s="140"/>
      <c r="D148" s="140"/>
      <c r="E148" s="17"/>
      <c r="F148" s="1017" t="s">
        <v>48</v>
      </c>
      <c r="G148" s="17"/>
      <c r="H148" s="9"/>
      <c r="I148" s="9"/>
      <c r="J148" s="17"/>
      <c r="K148" s="17"/>
    </row>
    <row r="149" spans="1:11" ht="15" x14ac:dyDescent="0.25">
      <c r="A149" s="9"/>
      <c r="B149" s="299" t="s">
        <v>153</v>
      </c>
      <c r="C149" s="140"/>
      <c r="D149" s="140"/>
      <c r="E149" s="17"/>
      <c r="F149" s="1017" t="s">
        <v>48</v>
      </c>
      <c r="G149" s="17"/>
      <c r="H149" s="9"/>
      <c r="I149" s="9"/>
      <c r="J149" s="17"/>
      <c r="K149" s="17"/>
    </row>
    <row r="150" spans="1:11" ht="15" x14ac:dyDescent="0.25">
      <c r="A150" s="9"/>
      <c r="B150" s="306" t="s">
        <v>154</v>
      </c>
      <c r="C150" s="710"/>
      <c r="D150" s="117"/>
      <c r="E150" s="17"/>
      <c r="F150" s="1017" t="s">
        <v>155</v>
      </c>
      <c r="G150" s="17"/>
      <c r="H150" s="9"/>
      <c r="I150" s="9"/>
      <c r="J150" s="17"/>
      <c r="K150" s="17"/>
    </row>
    <row r="151" spans="1:11" ht="15" x14ac:dyDescent="0.25">
      <c r="A151" s="9"/>
      <c r="B151" s="306" t="s">
        <v>156</v>
      </c>
      <c r="C151" s="710"/>
      <c r="D151" s="117"/>
      <c r="E151" s="17"/>
      <c r="F151" s="1017" t="s">
        <v>157</v>
      </c>
      <c r="G151" s="17"/>
      <c r="H151" s="9"/>
      <c r="I151" s="9"/>
      <c r="J151" s="17"/>
      <c r="K151" s="17"/>
    </row>
    <row r="152" spans="1:11" ht="15" x14ac:dyDescent="0.25">
      <c r="A152" s="9"/>
      <c r="B152" s="299" t="s">
        <v>158</v>
      </c>
      <c r="C152" s="140"/>
      <c r="D152" s="117"/>
      <c r="E152" s="17"/>
      <c r="F152" s="1017"/>
      <c r="G152" s="17"/>
      <c r="H152" s="9"/>
      <c r="I152" s="9"/>
      <c r="J152" s="17"/>
      <c r="K152" s="17"/>
    </row>
    <row r="153" spans="1:11" ht="15" x14ac:dyDescent="0.25">
      <c r="A153" s="9"/>
      <c r="B153" s="308" t="s">
        <v>159</v>
      </c>
      <c r="C153" s="711"/>
      <c r="D153" s="146"/>
      <c r="E153" s="17"/>
      <c r="F153" s="264" t="s">
        <v>160</v>
      </c>
      <c r="G153" s="9"/>
      <c r="H153" s="9"/>
      <c r="I153" s="9"/>
      <c r="J153" s="17"/>
      <c r="K153" s="17"/>
    </row>
    <row r="154" spans="1:11" x14ac:dyDescent="0.2">
      <c r="A154" s="9"/>
      <c r="B154" s="9"/>
      <c r="C154" s="9"/>
      <c r="D154" s="9"/>
      <c r="E154" s="9"/>
      <c r="F154" s="9"/>
      <c r="G154" s="9"/>
      <c r="H154" s="9"/>
      <c r="I154" s="9"/>
      <c r="J154" s="17"/>
      <c r="K154" s="17"/>
    </row>
    <row r="156" spans="1:11" x14ac:dyDescent="0.2">
      <c r="A156" s="9"/>
      <c r="B156" s="9"/>
      <c r="C156" s="9"/>
      <c r="D156" s="9"/>
      <c r="E156" s="9"/>
      <c r="F156" s="9"/>
    </row>
    <row r="157" spans="1:11" x14ac:dyDescent="0.2">
      <c r="A157" s="9"/>
      <c r="B157" s="9"/>
      <c r="C157" s="9"/>
      <c r="D157" s="9"/>
      <c r="E157" s="9"/>
      <c r="F157" s="9"/>
    </row>
    <row r="158" spans="1:11" ht="14.25" x14ac:dyDescent="0.2">
      <c r="A158" s="9"/>
      <c r="B158" s="39" t="s">
        <v>184</v>
      </c>
      <c r="C158" s="708"/>
      <c r="D158" s="708"/>
      <c r="E158" s="1217"/>
      <c r="F158" s="9"/>
    </row>
    <row r="159" spans="1:11" ht="15" x14ac:dyDescent="0.25">
      <c r="A159" s="9"/>
      <c r="B159" s="293" t="s">
        <v>185</v>
      </c>
      <c r="C159" s="158"/>
      <c r="D159" s="17"/>
      <c r="E159" s="1015" t="s">
        <v>186</v>
      </c>
      <c r="F159" s="9"/>
    </row>
    <row r="160" spans="1:11" ht="15" x14ac:dyDescent="0.25">
      <c r="A160" s="9"/>
      <c r="B160" s="299" t="s">
        <v>187</v>
      </c>
      <c r="C160" s="140"/>
      <c r="D160" s="17"/>
      <c r="E160" s="1017" t="s">
        <v>186</v>
      </c>
      <c r="F160" s="9"/>
    </row>
    <row r="161" spans="1:6" x14ac:dyDescent="0.2">
      <c r="A161" s="9"/>
      <c r="B161" s="299" t="s">
        <v>188</v>
      </c>
      <c r="C161" s="140"/>
      <c r="D161" s="17"/>
      <c r="E161" s="1218"/>
      <c r="F161" s="9"/>
    </row>
    <row r="162" spans="1:6" x14ac:dyDescent="0.2">
      <c r="A162" s="9"/>
      <c r="B162" s="299" t="s">
        <v>189</v>
      </c>
      <c r="C162" s="140"/>
      <c r="D162" s="17"/>
      <c r="E162" s="1155"/>
      <c r="F162" s="9"/>
    </row>
    <row r="163" spans="1:6" ht="15" x14ac:dyDescent="0.25">
      <c r="A163" s="9"/>
      <c r="B163" s="131"/>
      <c r="C163" s="1215"/>
      <c r="D163" s="1219"/>
      <c r="E163" s="519"/>
      <c r="F163" s="9"/>
    </row>
    <row r="164" spans="1:6" x14ac:dyDescent="0.2">
      <c r="A164" s="9"/>
      <c r="B164" s="9"/>
      <c r="C164" s="9"/>
      <c r="D164" s="9"/>
      <c r="E164" s="9"/>
      <c r="F164" s="9"/>
    </row>
    <row r="166" spans="1:6" x14ac:dyDescent="0.2">
      <c r="A166" s="9"/>
      <c r="B166" s="9"/>
      <c r="C166" s="9"/>
      <c r="D166" s="9"/>
      <c r="E166" s="9"/>
      <c r="F166" s="9"/>
    </row>
    <row r="167" spans="1:6" x14ac:dyDescent="0.2">
      <c r="A167" s="9" t="s">
        <v>315</v>
      </c>
      <c r="B167" s="9"/>
      <c r="C167" s="9"/>
      <c r="D167" s="9"/>
      <c r="E167" s="9"/>
      <c r="F167" s="9"/>
    </row>
    <row r="168" spans="1:6" x14ac:dyDescent="0.2">
      <c r="A168" s="659" t="s">
        <v>112</v>
      </c>
      <c r="B168" s="659" t="s">
        <v>113</v>
      </c>
      <c r="C168" s="659" t="s">
        <v>316</v>
      </c>
      <c r="D168" s="659" t="s">
        <v>348</v>
      </c>
      <c r="E168" s="9"/>
      <c r="F168" s="9"/>
    </row>
    <row r="169" spans="1:6" x14ac:dyDescent="0.2">
      <c r="A169" s="281">
        <v>1</v>
      </c>
      <c r="B169" s="679" t="s">
        <v>320</v>
      </c>
      <c r="C169" s="281">
        <v>10</v>
      </c>
      <c r="D169" s="281">
        <v>20.16</v>
      </c>
      <c r="E169" s="659">
        <v>115.338461538462</v>
      </c>
      <c r="F169" s="9"/>
    </row>
    <row r="170" spans="1:6" x14ac:dyDescent="0.2">
      <c r="A170" s="281">
        <v>2</v>
      </c>
      <c r="B170" s="659" t="s">
        <v>321</v>
      </c>
      <c r="C170" s="281">
        <v>2</v>
      </c>
      <c r="D170" s="281">
        <v>17.64</v>
      </c>
      <c r="E170" s="659">
        <v>20.184230769230801</v>
      </c>
      <c r="F170" s="9"/>
    </row>
    <row r="171" spans="1:6" x14ac:dyDescent="0.2">
      <c r="A171" s="281">
        <v>3</v>
      </c>
      <c r="B171" s="679" t="s">
        <v>117</v>
      </c>
      <c r="C171" s="281">
        <v>150</v>
      </c>
      <c r="D171" s="281">
        <v>36.119999999999997</v>
      </c>
      <c r="E171" s="659">
        <v>3099.7211538461502</v>
      </c>
      <c r="F171" s="9"/>
    </row>
    <row r="172" spans="1:6" x14ac:dyDescent="0.2">
      <c r="A172" s="281">
        <v>4</v>
      </c>
      <c r="B172" s="679" t="s">
        <v>118</v>
      </c>
      <c r="C172" s="281">
        <v>35</v>
      </c>
      <c r="D172" s="281">
        <v>21.84</v>
      </c>
      <c r="E172" s="659">
        <v>437.32499999999999</v>
      </c>
      <c r="F172" s="9"/>
    </row>
    <row r="173" spans="1:6" x14ac:dyDescent="0.2">
      <c r="A173" s="281">
        <v>5</v>
      </c>
      <c r="B173" s="679" t="s">
        <v>120</v>
      </c>
      <c r="C173" s="281">
        <v>3</v>
      </c>
      <c r="D173" s="281">
        <v>13.44</v>
      </c>
      <c r="E173" s="659">
        <v>23.067692307692301</v>
      </c>
      <c r="F173" s="9"/>
    </row>
    <row r="174" spans="1:6" x14ac:dyDescent="0.2">
      <c r="A174" s="281">
        <v>6</v>
      </c>
      <c r="B174" s="679" t="s">
        <v>122</v>
      </c>
      <c r="C174" s="281">
        <v>3</v>
      </c>
      <c r="D174" s="281">
        <v>13.44</v>
      </c>
      <c r="E174" s="659">
        <v>23.067692307692301</v>
      </c>
      <c r="F174" s="9"/>
    </row>
    <row r="175" spans="1:6" x14ac:dyDescent="0.2">
      <c r="A175" s="281">
        <v>7</v>
      </c>
      <c r="B175" s="679" t="s">
        <v>327</v>
      </c>
      <c r="C175" s="281">
        <v>4</v>
      </c>
      <c r="D175" s="281">
        <v>11.76</v>
      </c>
      <c r="E175" s="659">
        <v>26.912307692307699</v>
      </c>
      <c r="F175" s="9"/>
    </row>
    <row r="176" spans="1:6" x14ac:dyDescent="0.2">
      <c r="A176" s="281">
        <v>8</v>
      </c>
      <c r="B176" s="679" t="s">
        <v>328</v>
      </c>
      <c r="C176" s="281">
        <v>1</v>
      </c>
      <c r="D176" s="281">
        <v>11.76</v>
      </c>
      <c r="E176" s="659">
        <v>6.7280769230769204</v>
      </c>
      <c r="F176" s="9"/>
    </row>
    <row r="177" spans="1:6" x14ac:dyDescent="0.2">
      <c r="A177" s="9"/>
      <c r="B177" s="9"/>
      <c r="C177" s="9">
        <v>208</v>
      </c>
      <c r="D177" s="9"/>
      <c r="E177" s="9">
        <v>3752.3446153846198</v>
      </c>
      <c r="F177" s="9"/>
    </row>
    <row r="178" spans="1:6" x14ac:dyDescent="0.2">
      <c r="A178" s="9"/>
      <c r="B178" s="9"/>
      <c r="C178" s="9"/>
      <c r="D178" s="9"/>
      <c r="E178" s="9"/>
      <c r="F178" s="9"/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5" r:id="rId3" name="Button 3109">
              <controlPr defaultSize="0" autoPict="0" macro="Module5.Macro3">
                <anchor moveWithCells="1" sizeWithCells="1">
                  <from>
                    <xdr:col>3</xdr:col>
                    <xdr:colOff>76200</xdr:colOff>
                    <xdr:row>111</xdr:row>
                    <xdr:rowOff>9525</xdr:rowOff>
                  </from>
                  <to>
                    <xdr:col>4</xdr:col>
                    <xdr:colOff>228600</xdr:colOff>
                    <xdr:row>112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Button 3110">
              <controlPr defaultSize="0" autoPict="0" macro="Module5.Macro3">
                <anchor moveWithCells="1" sizeWithCells="1">
                  <from>
                    <xdr:col>3</xdr:col>
                    <xdr:colOff>76200</xdr:colOff>
                    <xdr:row>126</xdr:row>
                    <xdr:rowOff>19050</xdr:rowOff>
                  </from>
                  <to>
                    <xdr:col>4</xdr:col>
                    <xdr:colOff>266700</xdr:colOff>
                    <xdr:row>127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3" r:id="rId5" name="Button 3111">
              <controlPr defaultSize="0" autoPict="0" macro="Module5.Macro3">
                <anchor moveWithCells="1" sizeWithCells="1">
                  <from>
                    <xdr:col>1</xdr:col>
                    <xdr:colOff>714375</xdr:colOff>
                    <xdr:row>160</xdr:row>
                    <xdr:rowOff>161925</xdr:rowOff>
                  </from>
                  <to>
                    <xdr:col>3</xdr:col>
                    <xdr:colOff>28575</xdr:colOff>
                    <xdr:row>162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6" name="Button 3109">
              <controlPr defaultSize="0" print="0" autoFill="0" autoPict="0" macro="Module5.Macro3" altText="OK">
                <anchor moveWithCells="1">
                  <from>
                    <xdr:col>3</xdr:col>
                    <xdr:colOff>76200</xdr:colOff>
                    <xdr:row>111</xdr:row>
                    <xdr:rowOff>9525</xdr:rowOff>
                  </from>
                  <to>
                    <xdr:col>4</xdr:col>
                    <xdr:colOff>-228600</xdr:colOff>
                    <xdr:row>112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7" name="Button 3110">
              <controlPr defaultSize="0" print="0" autoFill="0" autoPict="0" macro="Module5.Macro3" altText="OK">
                <anchor moveWithCells="1">
                  <from>
                    <xdr:col>3</xdr:col>
                    <xdr:colOff>76200</xdr:colOff>
                    <xdr:row>126</xdr:row>
                    <xdr:rowOff>19050</xdr:rowOff>
                  </from>
                  <to>
                    <xdr:col>4</xdr:col>
                    <xdr:colOff>-266700</xdr:colOff>
                    <xdr:row>127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r:id="rId8" name="Button 3111">
              <controlPr defaultSize="0" print="0" autoFill="0" autoPict="0" macro="Module5.Macro3" altText="OK">
                <anchor moveWithCells="1">
                  <from>
                    <xdr:col>1</xdr:col>
                    <xdr:colOff>714375</xdr:colOff>
                    <xdr:row>160</xdr:row>
                    <xdr:rowOff>161925</xdr:rowOff>
                  </from>
                  <to>
                    <xdr:col>3</xdr:col>
                    <xdr:colOff>28575</xdr:colOff>
                    <xdr:row>162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R213"/>
  <sheetViews>
    <sheetView zoomScaleNormal="100" workbookViewId="0"/>
  </sheetViews>
  <sheetFormatPr defaultColWidth="11.5703125" defaultRowHeight="12.75" customHeight="1" x14ac:dyDescent="0.2"/>
  <sheetData>
    <row r="1" spans="1:96" ht="15" x14ac:dyDescent="0.25">
      <c r="A1" s="399" t="s">
        <v>190</v>
      </c>
      <c r="N1" s="1"/>
      <c r="O1" s="2"/>
      <c r="P1" s="1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</row>
    <row r="2" spans="1:96" x14ac:dyDescent="0.2"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</row>
    <row r="3" spans="1:96" x14ac:dyDescent="0.2">
      <c r="A3" s="400">
        <v>712</v>
      </c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</row>
    <row r="4" spans="1:96" x14ac:dyDescent="0.2"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</row>
    <row r="5" spans="1:96" x14ac:dyDescent="0.2">
      <c r="A5" s="17">
        <v>20.16</v>
      </c>
      <c r="B5" s="401">
        <v>2.4</v>
      </c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</row>
    <row r="6" spans="1:96" x14ac:dyDescent="0.2">
      <c r="A6" s="17">
        <v>17.64</v>
      </c>
      <c r="B6" s="402">
        <v>2.1</v>
      </c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CC6" t="s">
        <v>191</v>
      </c>
    </row>
    <row r="7" spans="1:96" x14ac:dyDescent="0.2">
      <c r="A7" s="17">
        <v>36.119999999999997</v>
      </c>
      <c r="B7" s="402">
        <v>4.3</v>
      </c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</row>
    <row r="8" spans="1:96" x14ac:dyDescent="0.2">
      <c r="A8" s="17">
        <v>21.84</v>
      </c>
      <c r="B8" s="402">
        <v>2.6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CI8" s="403" t="s">
        <v>192</v>
      </c>
      <c r="CJ8" s="404">
        <v>0</v>
      </c>
      <c r="CK8" s="405">
        <v>0</v>
      </c>
    </row>
    <row r="9" spans="1:96" x14ac:dyDescent="0.2">
      <c r="A9" s="17">
        <v>13.44</v>
      </c>
      <c r="B9" s="402">
        <v>1.6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CI9" s="406"/>
      <c r="CJ9" s="407"/>
      <c r="CK9" s="408">
        <v>0</v>
      </c>
    </row>
    <row r="10" spans="1:96" x14ac:dyDescent="0.2">
      <c r="A10" s="17">
        <v>13.44</v>
      </c>
      <c r="B10" s="402">
        <v>1.6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CI10" s="409" t="s">
        <v>193</v>
      </c>
      <c r="CJ10" s="407">
        <v>0</v>
      </c>
      <c r="CK10" s="410"/>
    </row>
    <row r="11" spans="1:96" x14ac:dyDescent="0.2">
      <c r="A11" s="17">
        <v>11.76</v>
      </c>
      <c r="B11" s="402">
        <v>1.4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CI11" s="409" t="s">
        <v>194</v>
      </c>
      <c r="CJ11" s="407">
        <v>0</v>
      </c>
      <c r="CK11" s="410"/>
    </row>
    <row r="12" spans="1:96" x14ac:dyDescent="0.2">
      <c r="A12" s="17">
        <v>11.76</v>
      </c>
      <c r="B12" s="411">
        <v>1.4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CI12" s="409" t="s">
        <v>195</v>
      </c>
      <c r="CJ12" s="407">
        <v>0</v>
      </c>
      <c r="CK12" s="412">
        <v>0</v>
      </c>
    </row>
    <row r="13" spans="1:96" x14ac:dyDescent="0.2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CI13" s="409" t="s">
        <v>196</v>
      </c>
      <c r="CJ13" s="407">
        <v>0</v>
      </c>
      <c r="CK13" s="412"/>
    </row>
    <row r="14" spans="1:96" x14ac:dyDescent="0.2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 t="s">
        <v>197</v>
      </c>
      <c r="AL14" s="17"/>
      <c r="AM14" s="17"/>
      <c r="AN14" s="17"/>
      <c r="AO14" s="17"/>
      <c r="AP14" s="17"/>
      <c r="AQ14" s="17" t="s">
        <v>198</v>
      </c>
      <c r="AR14" s="17"/>
      <c r="AS14" s="17"/>
      <c r="AT14" s="17"/>
      <c r="AU14" s="17"/>
      <c r="AV14" s="17"/>
      <c r="AW14" s="17"/>
      <c r="BB14" t="s">
        <v>199</v>
      </c>
      <c r="CI14" s="413" t="s">
        <v>200</v>
      </c>
      <c r="CJ14" s="414">
        <v>0</v>
      </c>
      <c r="CK14" s="415"/>
    </row>
    <row r="15" spans="1:96" x14ac:dyDescent="0.2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 t="s">
        <v>201</v>
      </c>
      <c r="AL15" s="17" t="s">
        <v>202</v>
      </c>
      <c r="AM15" s="17"/>
      <c r="AN15" s="17" t="s">
        <v>203</v>
      </c>
      <c r="AO15" s="17" t="s">
        <v>204</v>
      </c>
      <c r="AP15" s="17"/>
      <c r="AQ15" s="17" t="s">
        <v>202</v>
      </c>
      <c r="AR15" s="17" t="s">
        <v>205</v>
      </c>
      <c r="AS15" s="17"/>
      <c r="AT15" s="17"/>
      <c r="AV15" s="17"/>
      <c r="AW15" s="17"/>
      <c r="AX15" t="s">
        <v>201</v>
      </c>
      <c r="AY15" t="s">
        <v>202</v>
      </c>
      <c r="AZ15" t="s">
        <v>206</v>
      </c>
      <c r="BA15" t="s">
        <v>207</v>
      </c>
      <c r="BB15" t="s">
        <v>208</v>
      </c>
      <c r="BC15" t="s">
        <v>209</v>
      </c>
      <c r="BD15" t="s">
        <v>210</v>
      </c>
      <c r="BE15" t="s">
        <v>211</v>
      </c>
      <c r="BF15" t="s">
        <v>212</v>
      </c>
      <c r="BH15" t="s">
        <v>207</v>
      </c>
      <c r="BM15" t="s">
        <v>211</v>
      </c>
      <c r="BO15" t="s">
        <v>213</v>
      </c>
      <c r="BP15" t="s">
        <v>214</v>
      </c>
      <c r="BS15" t="s">
        <v>206</v>
      </c>
      <c r="BU15" t="s">
        <v>208</v>
      </c>
      <c r="CA15" t="s">
        <v>215</v>
      </c>
      <c r="CB15" s="416" t="s">
        <v>216</v>
      </c>
      <c r="CC15" t="s">
        <v>211</v>
      </c>
      <c r="CD15" t="s">
        <v>217</v>
      </c>
      <c r="CE15" t="s">
        <v>218</v>
      </c>
      <c r="CF15" t="s">
        <v>219</v>
      </c>
      <c r="CH15" s="17" t="s">
        <v>220</v>
      </c>
      <c r="CI15" s="17" t="s">
        <v>221</v>
      </c>
      <c r="CJ15" s="17"/>
      <c r="CK15" t="s">
        <v>222</v>
      </c>
      <c r="CM15" s="417" t="s">
        <v>200</v>
      </c>
      <c r="CN15" s="418" t="s">
        <v>192</v>
      </c>
      <c r="CP15" t="s">
        <v>223</v>
      </c>
    </row>
    <row r="16" spans="1:96" ht="18.75" x14ac:dyDescent="0.3">
      <c r="A16" s="419" t="s">
        <v>128</v>
      </c>
      <c r="B16" s="420"/>
      <c r="C16" s="313"/>
      <c r="D16" s="17"/>
      <c r="E16" s="17"/>
      <c r="F16" s="421" t="s">
        <v>91</v>
      </c>
      <c r="G16" s="422"/>
      <c r="H16" s="112"/>
      <c r="I16" s="112"/>
      <c r="J16" s="17"/>
      <c r="K16" s="17"/>
      <c r="L16" s="423"/>
      <c r="M16" s="424"/>
      <c r="N16" s="425" t="s">
        <v>68</v>
      </c>
      <c r="O16" s="426"/>
      <c r="P16" s="427"/>
      <c r="Q16" s="17"/>
      <c r="R16" s="17"/>
      <c r="S16" s="17"/>
      <c r="T16" s="17"/>
      <c r="U16" s="17"/>
      <c r="V16" s="17"/>
      <c r="W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9">
        <v>313.53817600829598</v>
      </c>
      <c r="AL16" s="17">
        <v>0</v>
      </c>
      <c r="AM16" s="17"/>
      <c r="AN16" s="17">
        <v>0</v>
      </c>
      <c r="AO16" s="400">
        <v>313.53817600829598</v>
      </c>
      <c r="AP16" s="17"/>
      <c r="AQ16" s="17">
        <v>0</v>
      </c>
      <c r="AR16" s="400">
        <v>206.62221389611901</v>
      </c>
      <c r="AS16" s="17"/>
      <c r="AT16" s="17"/>
      <c r="AU16" s="101">
        <v>0</v>
      </c>
      <c r="AV16" s="17">
        <v>0</v>
      </c>
      <c r="AW16" s="17">
        <v>0</v>
      </c>
      <c r="AX16" s="1" t="e">
        <f>#REF!</f>
        <v>#REF!</v>
      </c>
      <c r="AY16">
        <v>0</v>
      </c>
      <c r="AZ16" s="428" t="e">
        <f>#REF!</f>
        <v>#REF!</v>
      </c>
      <c r="BA16">
        <v>1</v>
      </c>
      <c r="BB16" s="428" t="e">
        <f>#REF!</f>
        <v>#REF!</v>
      </c>
      <c r="BC16">
        <v>1</v>
      </c>
      <c r="BD16">
        <v>0</v>
      </c>
      <c r="BE16">
        <v>0</v>
      </c>
      <c r="BF16" t="e">
        <f t="shared" ref="BF16:BF47" si="0">AV16*AW16/$D$144</f>
        <v>#DIV/0!</v>
      </c>
      <c r="BH16">
        <v>1</v>
      </c>
      <c r="BJ16" t="str">
        <f>IF(AV16=0,"0",SQRT(((2*[1]Sheet11!$G$36/2*AV16)/[1]Sheet11!$H$48*((1-([1]Sheet10!$AL$625*[1]Sheet10!$AL$627))*[1]Sheet10!$AL$631/([1]Sheet10!$AL$628*[1]Sheet10!$AL$627))*60*39.37+([1]Sheet11!$G$36/2)^2)))</f>
        <v>0</v>
      </c>
      <c r="BM16" s="429">
        <f>((([1]Sheet11!$H$47/BU16)-1)*LN(BP16/([1]Sheet11!$G$36/2)))</f>
        <v>4.6586951479980678</v>
      </c>
      <c r="BO16" s="17">
        <v>3420</v>
      </c>
      <c r="BP16">
        <f>SQRT(((2*[1]Sheet11!$G$36/2*BO16)/[1]Sheet11!$H$48*((1-([1]Sheet10!$AL$625*[1]Sheet10!$AL$627))*[1]Sheet10!$AL$631/([1]Sheet10!$AL$628*[1]Sheet10!$AL$627))*60*39.37))</f>
        <v>31.35813597682095</v>
      </c>
      <c r="BQ16" s="428" t="e">
        <f>#REF!</f>
        <v>#REF!</v>
      </c>
      <c r="BS16">
        <v>15.1842832595924</v>
      </c>
      <c r="BU16">
        <v>67</v>
      </c>
      <c r="BW16">
        <f>SQRT(((2*[1]Sheet11!$G$36/2*BO16)/[1]Sheet11!$H$48*((1-([1]Sheet10!$AM$625*[1]Sheet10!$AM$627))*[1]Sheet10!$AM$631/([1]Sheet10!$AM$628*[1]Sheet10!$AM$627))*60*39.37))</f>
        <v>59.856751790859597</v>
      </c>
      <c r="BX16">
        <f>SQRT(((2*[1]Sheet11!$G$36/2*BO16)/[1]Sheet11!$H$48*((1-([1]Sheet10!$AN$625*[1]Sheet10!$AN$627))*[1]Sheet10!$AN$631/([1]Sheet10!$AN$628*[1]Sheet10!$AN$627))*60*39.37))</f>
        <v>43.435682093190543</v>
      </c>
      <c r="BZ16" t="e">
        <f t="shared" ref="BZ16:BZ47" ca="1" si="1">SolveDyEq(BO16,$H$118,$H$119,$H$120,$H$121)</f>
        <v>#NAME?</v>
      </c>
      <c r="CA16" t="e">
        <f ca="1">(CE16*[1]Sheet10!$AL$629/(7.08*[1]Sheet11!$H$53*(CF16)))*1000*LN(([1]Sheet11!$H$52*12)/(BP16))</f>
        <v>#NAME?</v>
      </c>
      <c r="CB16" t="e">
        <f ca="1">LN(BP16/([1]Sheet11!$G$36/2))/((LN(([1]Sheet11!$H$52*12)/([1]Sheet11!$G$36/2))/CA16)-LN(([1]Sheet11!$H$52*12)/BP16)/[1]Sheet11!$H$47)</f>
        <v>#NAME?</v>
      </c>
      <c r="CC16" t="e">
        <f ca="1">((([1]Sheet11!$H$47/CB16)-1)*LN(BP16/([1]Sheet11!$G$36/2)))</f>
        <v>#NAME?</v>
      </c>
      <c r="CD16" t="e">
        <f t="shared" ref="CD16:CD47" ca="1" si="2">((BZ16/BO16)/$G$129)</f>
        <v>#NAME?</v>
      </c>
      <c r="CE16" t="e">
        <f t="shared" ref="CE16:CE47" ca="1" si="3">$G$126*CD16</f>
        <v>#NAME?</v>
      </c>
      <c r="CF16" t="e">
        <f ca="1">CE16*[1]Sheet10!$AL$629*LN([1]Sheet11!$H$52*12/([1]Sheet11!$G$36/2))/(0.00708*[1]Sheet11!$H$47*[1]Sheet11!$H$53)</f>
        <v>#NAME?</v>
      </c>
      <c r="CH16" s="17">
        <v>0</v>
      </c>
      <c r="CI16" s="17">
        <v>0</v>
      </c>
      <c r="CJ16" s="17"/>
      <c r="CK16">
        <f>SQRT(((2*[1]Sheet11!$G$36/2*AV17)/[1]Sheet11!$H$48*((1-([1]Sheet10!$AL$625*[1]Sheet10!$AL$627))*[1]Sheet10!$AL$631/([1]Sheet10!$AL$628*[1]Sheet10!$AL$627))*60*39.37))</f>
        <v>0.53621281123268238</v>
      </c>
      <c r="CM16" s="430">
        <v>0</v>
      </c>
      <c r="CN16" s="431">
        <v>4599786</v>
      </c>
      <c r="CO16" s="432">
        <v>0</v>
      </c>
      <c r="CP16" s="433">
        <v>0</v>
      </c>
      <c r="CR16" t="e">
        <f>((([1]Sheet11!$H$47/CH16)-0.8)*LN(CK16/([1]Sheet11!$G$36/2)))</f>
        <v>#DIV/0!</v>
      </c>
    </row>
    <row r="17" spans="1:96" ht="18.75" x14ac:dyDescent="0.3">
      <c r="A17" s="434" t="s">
        <v>129</v>
      </c>
      <c r="B17" s="158"/>
      <c r="C17" s="51"/>
      <c r="D17" s="17"/>
      <c r="E17" s="17"/>
      <c r="F17" s="435" t="s">
        <v>224</v>
      </c>
      <c r="G17" s="436"/>
      <c r="H17" s="437">
        <v>0</v>
      </c>
      <c r="I17" s="438"/>
      <c r="J17" s="17"/>
      <c r="K17" s="17"/>
      <c r="L17" s="439" t="s">
        <v>70</v>
      </c>
      <c r="M17" s="440" t="s">
        <v>225</v>
      </c>
      <c r="N17" s="440" t="s">
        <v>226</v>
      </c>
      <c r="O17" s="440" t="s">
        <v>227</v>
      </c>
      <c r="P17" s="441" t="s">
        <v>71</v>
      </c>
      <c r="Q17" s="17"/>
      <c r="R17" s="17"/>
      <c r="S17" s="17"/>
      <c r="T17" s="419" t="s">
        <v>128</v>
      </c>
      <c r="U17" s="420"/>
      <c r="V17" s="17"/>
      <c r="W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>
        <v>228.72416593714499</v>
      </c>
      <c r="AL17" s="9">
        <v>84.814010071150804</v>
      </c>
      <c r="AM17" s="17"/>
      <c r="AN17" s="400">
        <v>112.759701915842</v>
      </c>
      <c r="AO17" s="17">
        <v>200.77847409245399</v>
      </c>
      <c r="AP17" s="17"/>
      <c r="AQ17" s="400">
        <v>102.81833081166801</v>
      </c>
      <c r="AR17" s="17">
        <v>103.80388308445001</v>
      </c>
      <c r="AS17" s="17"/>
      <c r="AT17" s="17">
        <v>0</v>
      </c>
      <c r="AU17" s="101">
        <v>0.119069863238148</v>
      </c>
      <c r="AV17" s="66">
        <v>1</v>
      </c>
      <c r="AW17" s="102">
        <v>0</v>
      </c>
      <c r="AX17" s="1" t="e">
        <f>AX16-12</f>
        <v>#REF!</v>
      </c>
      <c r="AY17" s="1" t="e">
        <f t="shared" ref="AY17:AY48" si="4">$J$136-AX17</f>
        <v>#REF!</v>
      </c>
      <c r="AZ17" t="e">
        <f>IF([1]Sheet11!$H$47&gt;=400,((((AW17/AV17)/$G$129)*$G$129*60*[1]Sheet10!$AL$629*[1]Sheet11!$H$54/(($G$129*(AX17/14.7))))*1000),((((AW17/AV17)/$G$129)*$G$129*60*[1]Sheet10!$AL$629*[1]Sheet11!$H$54/(($G$129*((AX17*(400/[1]Sheet11!$H$47))/14.7))))*1000))</f>
        <v>#REF!</v>
      </c>
      <c r="BA17" t="e">
        <f>AZ17/[1]Sheet11!$H$47</f>
        <v>#REF!</v>
      </c>
      <c r="BB17" t="e">
        <f>IF($E$224&lt;=1,ABS(1/(([1]Sheet11!$H$54/AZ17)-(([1]Sheet11!$H$54)/[1]Sheet11!$H$47))),($E$224/(([1]Sheet11!$H$54/AZ17)-(([1]Sheet11!$H$54-BD17)/[1]Sheet11!$H$47))))</f>
        <v>#REF!</v>
      </c>
      <c r="BC17" t="e">
        <f>(BB17/[1]Sheet11!$H$47)</f>
        <v>#REF!</v>
      </c>
      <c r="BD17" t="e">
        <f>IF([1]Sheet11!$H$47=400,((AX17*4389120*($D$146^(1+$J$80))/($J$81*($D$150^$J$80)))*(1.26/(3+1/$J$80))^$J$80*AW17/$AW$70),((AX17*(400/[1]Sheet11!$H$47)*4389120*($D$146^(1+$J$80)))/($J$81*($D$150^$J$80)))*(1.3/(3+1/$J$80))^$J$80*AW17/$AW$70)</f>
        <v>#REF!</v>
      </c>
      <c r="BE17" t="e">
        <f>IF([1]Sheet11!$H$47=400,((AX17/14.7)*([1]Sheet11!$H$47/1000)*$G$129)/((AW17/'Oil-Based Mud 1'!AV17*60)*[1]Sheet10!$AL$629*([1]Sheet11!$H$54)),((AX17*(400/[1]Sheet11!$H$47)/14.7)*([1]Sheet11!$H$47/1000)*$G$129)/((AW17/'Oil-Based Mud 1'!AV17*60)*[1]Sheet10!$AL$629*([1]Sheet11!$H$54)))-0.8</f>
        <v>#REF!</v>
      </c>
      <c r="BF17" t="e">
        <f t="shared" si="0"/>
        <v>#DIV/0!</v>
      </c>
      <c r="BH17">
        <v>0.37474899352364699</v>
      </c>
      <c r="BJ17">
        <f>IF(AV17=0,"0",SQRT(((2*[1]Sheet11!$G$36/2*AV17)/[1]Sheet11!$H$48*((1-([1]Sheet10!$AL$625*[1]Sheet10!$AL$627))*[1]Sheet10!$AL$631/([1]Sheet10!$AL$628*[1]Sheet10!$AL$627))*60*39.37+([1]Sheet11!$G$36/2)^2)))</f>
        <v>3.04754395849019</v>
      </c>
      <c r="BM17" s="429">
        <f>((([1]Sheet11!$H$47/BU17)-1)*LN(BP17/([1]Sheet11!$G$36/2)))</f>
        <v>4.6292408408082659</v>
      </c>
      <c r="BO17" s="17">
        <v>3320</v>
      </c>
      <c r="BP17">
        <f>SQRT(((2*[1]Sheet11!$G$36/2*BO17)/[1]Sheet11!$H$48*((1-([1]Sheet10!$AL$625*[1]Sheet10!$AL$627))*[1]Sheet10!$AL$631/([1]Sheet10!$AL$628*[1]Sheet10!$AL$627))*60*39.37))</f>
        <v>30.896282527964217</v>
      </c>
      <c r="BQ17" s="428" t="e">
        <f t="shared" ref="BQ17:BQ48" si="5">BQ16-5</f>
        <v>#REF!</v>
      </c>
      <c r="BS17">
        <v>15.1842832595924</v>
      </c>
      <c r="BU17">
        <v>67</v>
      </c>
      <c r="BW17">
        <f>SQRT(((2*[1]Sheet11!$G$36/2*BO17)/[1]Sheet11!$H$48*((1-([1]Sheet10!$AM$625*[1]Sheet10!$AM$627))*[1]Sheet10!$AM$631/([1]Sheet10!$AM$628*[1]Sheet10!$AM$627))*60*39.37))</f>
        <v>58.975160892969349</v>
      </c>
      <c r="BX17">
        <f>SQRT(((2*[1]Sheet11!$G$36/2*BO17)/[1]Sheet11!$H$48*((1-([1]Sheet10!$AN$625*[1]Sheet10!$AN$627))*[1]Sheet10!$AN$631/([1]Sheet10!$AN$628*[1]Sheet10!$AN$627))*60*39.37))</f>
        <v>42.795946376979181</v>
      </c>
      <c r="BZ17" t="e">
        <f t="shared" ca="1" si="1"/>
        <v>#NAME?</v>
      </c>
      <c r="CA17" t="e">
        <f ca="1">(CE17*[1]Sheet10!$AL$629/(7.08*[1]Sheet11!$H$53*(CF17)))*1000*LN(([1]Sheet11!$H$52*12)/(BP17))</f>
        <v>#NAME?</v>
      </c>
      <c r="CB17" t="e">
        <f ca="1">LN(BP17/([1]Sheet11!$G$36/2))/((LN(([1]Sheet11!$H$52*12)/([1]Sheet11!$G$36/2))/CA17)-LN(([1]Sheet11!$H$52*12)/BP17)/[1]Sheet11!$H$47)</f>
        <v>#NAME?</v>
      </c>
      <c r="CC17" t="e">
        <f ca="1">((([1]Sheet11!$H$47/CB17)-1)*LN(BP17/([1]Sheet11!$G$36/2)))</f>
        <v>#NAME?</v>
      </c>
      <c r="CD17" t="e">
        <f t="shared" ca="1" si="2"/>
        <v>#NAME?</v>
      </c>
      <c r="CE17" t="e">
        <f t="shared" ca="1" si="3"/>
        <v>#NAME?</v>
      </c>
      <c r="CF17" t="e">
        <f ca="1">CE17*[1]Sheet10!$AL$629*LN([1]Sheet11!$H$52*12/([1]Sheet11!$G$36/2))/(0.00708*[1]Sheet11!$H$47*[1]Sheet11!$H$53)</f>
        <v>#NAME?</v>
      </c>
      <c r="CH17" s="17">
        <v>0</v>
      </c>
      <c r="CI17" s="17">
        <v>0</v>
      </c>
      <c r="CJ17" s="17"/>
      <c r="CK17">
        <f>SQRT(((2*[1]Sheet11!$G$36/2*AV18)/[1]Sheet11!$H$48*((1-([1]Sheet10!$AL$625*[1]Sheet10!$AL$627))*[1]Sheet10!$AL$631/([1]Sheet10!$AL$628*[1]Sheet10!$AL$627))*60*39.37))</f>
        <v>0.75831942996346369</v>
      </c>
      <c r="CM17" s="430">
        <v>0</v>
      </c>
      <c r="CN17" s="431">
        <v>4599786</v>
      </c>
      <c r="CO17" s="432">
        <v>0</v>
      </c>
      <c r="CP17" s="433">
        <v>0</v>
      </c>
      <c r="CR17" t="e">
        <f>((([1]Sheet11!$H$47/CH17)-0.8)*LN(CK17/([1]Sheet11!$G$36/2)))</f>
        <v>#DIV/0!</v>
      </c>
    </row>
    <row r="18" spans="1:96" ht="15.75" x14ac:dyDescent="0.25">
      <c r="A18" s="442" t="s">
        <v>8</v>
      </c>
      <c r="B18" s="434" t="s">
        <v>9</v>
      </c>
      <c r="C18" s="443"/>
      <c r="D18" s="17"/>
      <c r="E18" s="17"/>
      <c r="F18" s="444" t="s">
        <v>92</v>
      </c>
      <c r="G18" s="436"/>
      <c r="H18" s="437">
        <v>265</v>
      </c>
      <c r="I18" s="445" t="s">
        <v>228</v>
      </c>
      <c r="J18" s="17"/>
      <c r="K18" s="17"/>
      <c r="L18" s="446">
        <v>1</v>
      </c>
      <c r="M18" s="447">
        <v>2</v>
      </c>
      <c r="N18" s="448">
        <v>2.25</v>
      </c>
      <c r="O18" s="448">
        <v>4.75</v>
      </c>
      <c r="P18" s="449" t="s">
        <v>74</v>
      </c>
      <c r="Q18" s="17"/>
      <c r="R18" s="17"/>
      <c r="S18" s="17"/>
      <c r="T18" s="434" t="s">
        <v>129</v>
      </c>
      <c r="U18" s="158"/>
      <c r="V18" s="17"/>
      <c r="W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>
        <v>211.52247163325501</v>
      </c>
      <c r="AL18" s="9">
        <v>102.015704375041</v>
      </c>
      <c r="AM18" s="17"/>
      <c r="AN18" s="400">
        <v>136.53247565156099</v>
      </c>
      <c r="AO18" s="17">
        <v>177.005700356734</v>
      </c>
      <c r="AP18" s="17"/>
      <c r="AQ18" s="400">
        <v>120.244553011541</v>
      </c>
      <c r="AR18" s="17">
        <v>86.377660884578106</v>
      </c>
      <c r="AS18" s="17"/>
      <c r="AT18" s="17">
        <v>0</v>
      </c>
      <c r="AU18" s="101">
        <v>0.21346756435067901</v>
      </c>
      <c r="AV18" s="17">
        <v>2</v>
      </c>
      <c r="AW18" s="102">
        <v>0</v>
      </c>
      <c r="AX18" s="1" t="e">
        <f>IF([1]Sheet11!$H$47&gt;=400,AT18,IF($J$137&lt;=200,((($H$119-($H$120*$H$121))/(($H$119-($H$120*$H$121*EXP(-$H$121*AW18)))))*(($J$136/($J$136+100))*$J$136))*7.5*(400/[1]Sheet11!$H$47),IF($J$137&lt;=250,((($H$119-($H$120*$H$121))/(($H$119-($H$120*$H$121*EXP(-$H$121*AW18)))))*(($J$136/($J$136+100))))*$J$136*7*(400/[1]Sheet11!$H$47),IF($J$137&lt;300,((($H$119-($H$120*$H$121))/(($H$119-($H$120*$H$121*EXP(-$H$121*AW18)))))*(($J$136/($J$136+100))))*$J$136*8*(400/[1]Sheet11!$H$47),IF(AND([1]Sheet11!$H$47&lt;=50,$J$137&gt;=300),((($H$119-($H$120*$H$121))/(($H$119-($H$120*$H$121*EXP(-$H$121*AW18)))))*(($J$136/($J$136+100))*$J$136))*(400/[1]Sheet11!$H$47),IF(AND([1]Sheet11!$H$47&gt;50,[1]Sheet11!$H$47&lt;=200,$J$137&gt;=300),((($H$119-($H$120*$H$121))/(($H$119-($H$120*$H$121*EXP(-$H$121*AW18)))))*(($J$136/($J$136+100))*$J$136))*3.5*(400/[1]Sheet11!$H$47)))))))</f>
        <v>#VALUE!</v>
      </c>
      <c r="AY18" s="1" t="e">
        <f t="shared" si="4"/>
        <v>#VALUE!</v>
      </c>
      <c r="AZ18" t="e">
        <f>IF([1]Sheet11!$H$47&gt;=400,((((AW18/AV18)/$G$129)*$G$129*60*[1]Sheet10!$AL$629*[1]Sheet11!$H$54/(($G$129*(AX18/14.7))))*1000),((((AW18/AV18)/$G$129)*$G$129*60*[1]Sheet10!$AL$629*[1]Sheet11!$H$54/(($G$129*((AX18*(400/[1]Sheet11!$H$47))/14.7))))*1000))</f>
        <v>#VALUE!</v>
      </c>
      <c r="BA18" t="e">
        <f>AZ18/[1]Sheet11!$H$47</f>
        <v>#VALUE!</v>
      </c>
      <c r="BB18" t="e">
        <f>IF($E$224&lt;=1,ABS(1/(([1]Sheet11!$H$54/AZ18)-(([1]Sheet11!$H$54)/[1]Sheet11!$H$47))),($E$224/(([1]Sheet11!$H$54/AZ18)-(([1]Sheet11!$H$54-BD18)/[1]Sheet11!$H$47))))</f>
        <v>#VALUE!</v>
      </c>
      <c r="BC18" t="e">
        <f>(BB18/[1]Sheet11!$H$47)</f>
        <v>#VALUE!</v>
      </c>
      <c r="BD18" t="e">
        <f>IF([1]Sheet11!$H$47=400,((AX18*4389120*($D$146^(1+$J$80))/($J$81*($D$150^$J$80)))*(1.26/(3+1/$J$80))^$J$80*AW18/$AW$70),((AX18*(400/[1]Sheet11!$H$47)*4389120*($D$146^(1+$J$80)))/($J$81*($D$150^$J$80)))*(1.3/(3+1/$J$80))^$J$80*AW18/$AW$70)</f>
        <v>#VALUE!</v>
      </c>
      <c r="BE18" t="e">
        <f>IF([1]Sheet11!$H$47=400,((AX18/14.7)*([1]Sheet11!$H$47/1000)*$G$129)/((AW18/'Oil-Based Mud 1'!AV18*60)*[1]Sheet10!$AL$629*([1]Sheet11!$H$54)),((AX18*(400/[1]Sheet11!$H$47)/14.7)*([1]Sheet11!$H$47/1000)*$G$129)/((AW18/'Oil-Based Mud 1'!AV18*60)*[1]Sheet10!$AL$629*([1]Sheet11!$H$54)))-0.2</f>
        <v>#VALUE!</v>
      </c>
      <c r="BF18" t="e">
        <f t="shared" si="0"/>
        <v>#DIV/0!</v>
      </c>
      <c r="BH18">
        <v>0.38739546619350801</v>
      </c>
      <c r="BJ18">
        <f>IF(AV18=0,"0",SQRT(((2*[1]Sheet11!$G$36/2*AV18)/[1]Sheet11!$H$48*((1-([1]Sheet10!$AL$625*[1]Sheet10!$AL$627))*[1]Sheet10!$AL$631/([1]Sheet10!$AL$628*[1]Sheet10!$AL$627))*60*39.37+([1]Sheet11!$G$36/2)^2)))</f>
        <v>3.094357503240392</v>
      </c>
      <c r="BM18" s="429">
        <f>((([1]Sheet11!$H$47/BU18)-1)*LN(BP18/([1]Sheet11!$G$36/2)))</f>
        <v>4.5988856519389634</v>
      </c>
      <c r="BO18" s="17">
        <v>3220</v>
      </c>
      <c r="BP18">
        <f>SQRT(((2*[1]Sheet11!$G$36/2*BO18)/[1]Sheet11!$H$48*((1-([1]Sheet10!$AL$625*[1]Sheet10!$AL$627))*[1]Sheet10!$AL$631/([1]Sheet10!$AL$628*[1]Sheet10!$AL$627))*60*39.37))</f>
        <v>30.427419479061665</v>
      </c>
      <c r="BQ18" s="428" t="e">
        <f t="shared" si="5"/>
        <v>#REF!</v>
      </c>
      <c r="BS18">
        <v>15.3831315183852</v>
      </c>
      <c r="BU18">
        <v>67</v>
      </c>
      <c r="BW18">
        <f>SQRT(((2*[1]Sheet11!$G$36/2*BO18)/[1]Sheet11!$H$48*((1-([1]Sheet10!$AM$625*[1]Sheet10!$AM$627))*[1]Sheet10!$AM$631/([1]Sheet10!$AM$628*[1]Sheet10!$AM$627))*60*39.37))</f>
        <v>58.080189994099271</v>
      </c>
      <c r="BX18">
        <f>SQRT(((2*[1]Sheet11!$G$36/2*BO18)/[1]Sheet11!$H$48*((1-([1]Sheet10!$AN$625*[1]Sheet10!$AN$627))*[1]Sheet10!$AN$631/([1]Sheet10!$AN$628*[1]Sheet10!$AN$627))*60*39.37))</f>
        <v>42.146501322195682</v>
      </c>
      <c r="BZ18" t="e">
        <f t="shared" ca="1" si="1"/>
        <v>#NAME?</v>
      </c>
      <c r="CA18" t="e">
        <f ca="1">(CE18*[1]Sheet10!$AL$629/(7.08*[1]Sheet11!$H$53*(CF18)))*1000*LN(([1]Sheet11!$H$52*12)/(BP18))</f>
        <v>#NAME?</v>
      </c>
      <c r="CB18" t="e">
        <f ca="1">LN(BP18/([1]Sheet11!$G$36/2))/((LN(([1]Sheet11!$H$52*12)/([1]Sheet11!$G$36/2))/CA18)-LN(([1]Sheet11!$H$52*12)/BP18)/[1]Sheet11!$H$47)</f>
        <v>#NAME?</v>
      </c>
      <c r="CC18" t="e">
        <f ca="1">((([1]Sheet11!$H$47/CB18)-1)*LN(BP18/([1]Sheet11!$G$36/2)))</f>
        <v>#NAME?</v>
      </c>
      <c r="CD18" t="e">
        <f t="shared" ca="1" si="2"/>
        <v>#NAME?</v>
      </c>
      <c r="CE18" t="e">
        <f t="shared" ca="1" si="3"/>
        <v>#NAME?</v>
      </c>
      <c r="CF18" t="e">
        <f ca="1">CE18*[1]Sheet10!$AL$629*LN([1]Sheet11!$H$52*12/([1]Sheet11!$G$36/2))/(0.00708*[1]Sheet11!$H$47*[1]Sheet11!$H$53)</f>
        <v>#NAME?</v>
      </c>
      <c r="CH18" s="17">
        <v>0</v>
      </c>
      <c r="CI18" s="17">
        <v>0</v>
      </c>
      <c r="CJ18" s="17"/>
      <c r="CK18">
        <f>SQRT(((2*[1]Sheet11!$G$36/2*AV19)/[1]Sheet11!$H$48*((1-([1]Sheet10!$AL$625*[1]Sheet10!$AL$627))*[1]Sheet10!$AL$631/([1]Sheet10!$AL$628*[1]Sheet10!$AL$627))*60*39.37))</f>
        <v>1.1990082963225408</v>
      </c>
      <c r="CM18" s="430">
        <v>0</v>
      </c>
      <c r="CN18" s="431">
        <v>4599786</v>
      </c>
      <c r="CO18" s="432">
        <v>0</v>
      </c>
      <c r="CP18" s="433">
        <v>0</v>
      </c>
      <c r="CR18" t="e">
        <f>((([1]Sheet11!$H$47/CH18)-0.8)*LN(CK18/([1]Sheet11!$G$36/2)))</f>
        <v>#DIV/0!</v>
      </c>
    </row>
    <row r="19" spans="1:96" ht="15" x14ac:dyDescent="0.25">
      <c r="A19" s="450">
        <v>600</v>
      </c>
      <c r="B19" s="451">
        <v>53</v>
      </c>
      <c r="C19" s="452"/>
      <c r="D19" s="17">
        <v>0</v>
      </c>
      <c r="E19" s="17"/>
      <c r="F19" s="17"/>
      <c r="G19" s="17"/>
      <c r="H19" s="17">
        <v>0.95</v>
      </c>
      <c r="I19" s="17"/>
      <c r="J19" s="17"/>
      <c r="K19" s="17"/>
      <c r="L19" s="453">
        <v>2</v>
      </c>
      <c r="M19" s="447">
        <v>6</v>
      </c>
      <c r="N19" s="448">
        <v>2.25</v>
      </c>
      <c r="O19" s="448">
        <v>4.75</v>
      </c>
      <c r="P19" s="454" t="s">
        <v>76</v>
      </c>
      <c r="Q19" s="17"/>
      <c r="R19" s="17"/>
      <c r="S19" s="17"/>
      <c r="T19" s="442" t="s">
        <v>8</v>
      </c>
      <c r="U19" s="434" t="s">
        <v>9</v>
      </c>
      <c r="V19" s="17"/>
      <c r="W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>
        <v>177.97296976047099</v>
      </c>
      <c r="AL19" s="9">
        <v>135.56520624782499</v>
      </c>
      <c r="AM19" s="17"/>
      <c r="AN19" s="400">
        <v>176.49975574948999</v>
      </c>
      <c r="AO19" s="17">
        <v>137.03842025880601</v>
      </c>
      <c r="AP19" s="17"/>
      <c r="AQ19" s="400">
        <v>144.32846898996601</v>
      </c>
      <c r="AR19" s="17">
        <v>62.293744906152597</v>
      </c>
      <c r="AS19" s="17"/>
      <c r="AT19" s="17">
        <v>0</v>
      </c>
      <c r="AU19" s="101">
        <v>0.43086500840110098</v>
      </c>
      <c r="AV19" s="17">
        <v>5</v>
      </c>
      <c r="AW19" s="102">
        <v>0</v>
      </c>
      <c r="AX19" s="1" t="e">
        <f>IF([1]Sheet11!$H$47&gt;=400,AT19,IF($J$137&lt;=200,((($H$119-($H$120*$H$121))/(($H$119-($H$120*$H$121*EXP(-$H$121*AW19)))))*(($J$136/($J$136+100))*$J$136))*7.5*(400/[1]Sheet11!$H$47),IF($J$137&lt;=250,((($H$119-($H$120*$H$121))/(($H$119-($H$120*$H$121*EXP(-$H$121*AW19)))))*(($J$136/($J$136+100))))*$J$136*7*(400/[1]Sheet11!$H$47),IF($J$137&lt;300,((($H$119-($H$120*$H$121))/(($H$119-($H$120*$H$121*EXP(-$H$121*AW19)))))*(($J$136/($J$136+100))))*$J$136*8*(400/[1]Sheet11!$H$47),IF(AND([1]Sheet11!$H$47&lt;=50,$J$137&gt;=300),((($H$119-($H$120*$H$121))/(($H$119-($H$120*$H$121*EXP(-$H$121*AW19)))))*(($J$136/($J$136+100))*$J$136))*(400/[1]Sheet11!$H$47),IF(AND([1]Sheet11!$H$47&gt;50,[1]Sheet11!$H$47&lt;=200,$J$137&gt;=300),((($H$119-($H$120*$H$121))/(($H$119-($H$120*$H$121*EXP(-$H$121*AW19)))))*(($J$136/($J$136+100))*$J$136))*3.5*(400/[1]Sheet11!$H$47))))))+2)</f>
        <v>#VALUE!</v>
      </c>
      <c r="AY19" s="1" t="e">
        <f t="shared" si="4"/>
        <v>#VALUE!</v>
      </c>
      <c r="AZ19" t="e">
        <f>IF([1]Sheet11!$H$47=400,((((AW19/AV19)/$G$129)*$G$129*60*[1]Sheet10!$AL$629*[1]Sheet11!$H$54/(($G$129*(AX19/14.7))))*1000),((((AW19/AV19)/$G$129)*$G$129*60*[1]Sheet10!$AL$629*[1]Sheet11!$H$54/(($G$129*(AX19*(400/[1]Sheet11!$H$47)/14.7))))*1000))</f>
        <v>#VALUE!</v>
      </c>
      <c r="BA19" t="e">
        <f>AZ19/[1]Sheet11!$H$47</f>
        <v>#VALUE!</v>
      </c>
      <c r="BB19" t="e">
        <f>IF($E$224&lt;=1,ABS(1/(([1]Sheet11!$H$54/AZ19)-(([1]Sheet11!$H$54)/[1]Sheet11!$H$47))),($E$224/(([1]Sheet11!$H$54/AZ19)-(([1]Sheet11!$H$54-BD19)/[1]Sheet11!$H$47))))</f>
        <v>#VALUE!</v>
      </c>
      <c r="BC19" t="e">
        <f>(BB19/[1]Sheet11!$H$47)</f>
        <v>#VALUE!</v>
      </c>
      <c r="BD19" t="e">
        <f>IF([1]Sheet11!$H$47=400,((AX19*4389120*($D$146^(1+$J$80))/($J$81*($D$150^$J$80)))*(1.26/(3+1/$J$80))^$J$80*AW19/$AW$70),((AX19*(400/[1]Sheet11!$H$47)*4389120*($D$146^(1+$J$80)))/($J$81*($D$150^$J$80)))*(1.3/(3+1/$J$80))^$J$80*AW19/$AW$70)</f>
        <v>#VALUE!</v>
      </c>
      <c r="BE19" t="e">
        <f>IF([1]Sheet11!$H$47=400,((AX19/14.7)*([1]Sheet11!$H$47/1000)*$G$129)/((AW19/'Oil-Based Mud 1'!AV19*60)*[1]Sheet10!$AL$629*([1]Sheet11!$H$54)),((AX19*(400/[1]Sheet11!$H$47)/14.7)*([1]Sheet11!$H$47/1000)*$G$129)/((AW19/'Oil-Based Mud 1'!AV19*60)*[1]Sheet10!$AL$629*([1]Sheet11!$H$54)))-0.2</f>
        <v>#VALUE!</v>
      </c>
      <c r="BF19" t="e">
        <f t="shared" si="0"/>
        <v>#DIV/0!</v>
      </c>
      <c r="BH19">
        <v>0.41357961399169002</v>
      </c>
      <c r="BJ19">
        <f>IF(AV19=0,"0",SQRT(((2*[1]Sheet11!$G$36/2*AV19)/[1]Sheet11!$H$48*((1-([1]Sheet10!$AL$625*[1]Sheet10!$AL$627))*[1]Sheet10!$AL$631/([1]Sheet10!$AL$628*[1]Sheet10!$AL$627))*60*39.37+([1]Sheet11!$G$36/2)^2)))</f>
        <v>3.2307307059936581</v>
      </c>
      <c r="BM19" s="429">
        <f>((([1]Sheet11!$H$47/BU19)-1)*LN(BP19/([1]Sheet11!$G$36/2)))</f>
        <v>4.5675727297095214</v>
      </c>
      <c r="BO19" s="17">
        <v>3120</v>
      </c>
      <c r="BP19">
        <f>SQRT(((2*[1]Sheet11!$G$36/2*BO19)/[1]Sheet11!$H$48*((1-([1]Sheet10!$AL$625*[1]Sheet10!$AL$627))*[1]Sheet10!$AL$631/([1]Sheet10!$AL$628*[1]Sheet10!$AL$627))*60*39.37))</f>
        <v>29.951217642389363</v>
      </c>
      <c r="BQ19" s="428" t="e">
        <f t="shared" si="5"/>
        <v>#REF!</v>
      </c>
      <c r="BS19">
        <v>15.692811504016399</v>
      </c>
      <c r="BU19">
        <v>67</v>
      </c>
      <c r="BW19">
        <f>SQRT(((2*[1]Sheet11!$G$36/2*BO19)/[1]Sheet11!$H$48*((1-([1]Sheet10!$AM$625*[1]Sheet10!$AM$627))*[1]Sheet10!$AM$631/([1]Sheet10!$AM$628*[1]Sheet10!$AM$627))*60*39.37))</f>
        <v>57.171210737133393</v>
      </c>
      <c r="BX19">
        <f>SQRT(((2*[1]Sheet11!$G$36/2*BO19)/[1]Sheet11!$H$48*((1-([1]Sheet10!$AN$625*[1]Sheet10!$AN$627))*[1]Sheet10!$AN$631/([1]Sheet10!$AN$628*[1]Sheet10!$AN$627))*60*39.37))</f>
        <v>41.486890954883634</v>
      </c>
      <c r="BZ19" t="e">
        <f t="shared" ca="1" si="1"/>
        <v>#NAME?</v>
      </c>
      <c r="CA19" t="e">
        <f ca="1">(CE19*[1]Sheet10!$AL$629/(7.08*[1]Sheet11!$H$53*(CF19)))*1000*LN(([1]Sheet11!$H$52*12)/(BP19))</f>
        <v>#NAME?</v>
      </c>
      <c r="CB19" t="e">
        <f ca="1">LN(BP19/([1]Sheet11!$G$36/2))/((LN(([1]Sheet11!$H$52*12)/([1]Sheet11!$G$36/2))/CA19)-LN(([1]Sheet11!$H$52*12)/BP19)/[1]Sheet11!$H$47)</f>
        <v>#NAME?</v>
      </c>
      <c r="CC19" t="e">
        <f ca="1">((([1]Sheet11!$H$47/CB19)-1)*LN(BP19/([1]Sheet11!$G$36/2)))</f>
        <v>#NAME?</v>
      </c>
      <c r="CD19" t="e">
        <f t="shared" ca="1" si="2"/>
        <v>#NAME?</v>
      </c>
      <c r="CE19" t="e">
        <f t="shared" ca="1" si="3"/>
        <v>#NAME?</v>
      </c>
      <c r="CF19" t="e">
        <f ca="1">CE19*[1]Sheet10!$AL$629*LN([1]Sheet11!$H$52*12/([1]Sheet11!$G$36/2))/(0.00708*[1]Sheet11!$H$47*[1]Sheet11!$H$53)</f>
        <v>#NAME?</v>
      </c>
      <c r="CH19" s="17">
        <v>0</v>
      </c>
      <c r="CI19" s="17">
        <v>0</v>
      </c>
      <c r="CJ19" s="17"/>
      <c r="CK19">
        <f>SQRT(((2*[1]Sheet11!$G$36/2*AV20)/[1]Sheet11!$H$48*((1-([1]Sheet10!$AL$625*[1]Sheet10!$AL$627))*[1]Sheet10!$AL$631/([1]Sheet10!$AL$628*[1]Sheet10!$AL$627))*60*39.37))</f>
        <v>1.6956537940571959</v>
      </c>
      <c r="CM19" s="430">
        <v>0</v>
      </c>
      <c r="CN19" s="431">
        <v>4599786</v>
      </c>
      <c r="CO19" s="432">
        <v>0</v>
      </c>
      <c r="CP19" s="433">
        <v>0</v>
      </c>
      <c r="CR19" t="e">
        <f>((([1]Sheet11!$H$47/CH19)-0.8)*LN(CK19/([1]Sheet11!$G$36/2)))</f>
        <v>#DIV/0!</v>
      </c>
    </row>
    <row r="20" spans="1:96" ht="18.75" x14ac:dyDescent="0.3">
      <c r="A20" s="455">
        <v>300</v>
      </c>
      <c r="B20" s="451">
        <v>32</v>
      </c>
      <c r="C20" s="452"/>
      <c r="D20" s="17">
        <v>0</v>
      </c>
      <c r="E20" s="17"/>
      <c r="F20" s="456" t="s">
        <v>87</v>
      </c>
      <c r="G20" s="457"/>
      <c r="H20" s="458"/>
      <c r="I20" s="17"/>
      <c r="J20" s="17"/>
      <c r="K20" s="17"/>
      <c r="L20" s="453">
        <v>3</v>
      </c>
      <c r="M20" s="447">
        <v>364</v>
      </c>
      <c r="N20" s="448">
        <v>2.25</v>
      </c>
      <c r="O20" s="448">
        <v>4.75</v>
      </c>
      <c r="P20" s="454" t="s">
        <v>78</v>
      </c>
      <c r="Q20" s="17"/>
      <c r="R20" s="17"/>
      <c r="S20" s="17"/>
      <c r="T20" s="450">
        <v>600</v>
      </c>
      <c r="U20" s="451">
        <v>53</v>
      </c>
      <c r="V20" s="17">
        <v>0</v>
      </c>
      <c r="W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>
        <v>147.947728213</v>
      </c>
      <c r="AL20" s="9">
        <v>165.590447795296</v>
      </c>
      <c r="AM20" s="17"/>
      <c r="AN20" s="400">
        <v>207.420982523172</v>
      </c>
      <c r="AO20" s="17">
        <v>106.117193485123</v>
      </c>
      <c r="AP20" s="17"/>
      <c r="AQ20" s="400">
        <v>160.189070033989</v>
      </c>
      <c r="AR20" s="17">
        <v>46.433143862129903</v>
      </c>
      <c r="AS20" s="17"/>
      <c r="AT20" s="17">
        <v>0</v>
      </c>
      <c r="AU20" s="101">
        <v>0.69719515061272397</v>
      </c>
      <c r="AV20" s="17">
        <v>10</v>
      </c>
      <c r="AW20" s="102">
        <v>0</v>
      </c>
      <c r="AX20" s="1" t="e">
        <f>IF([1]Sheet11!$H$47&gt;=400,AT20,IF($J$137&lt;=200,((($H$119-($H$120*$H$121))/(($H$119-($H$120*$H$121*EXP(-$H$121*AW20)))))*(($J$136/($J$136+100))*$J$136))*7.5*(400/[1]Sheet11!$H$47),IF($J$137&lt;=250,((($H$119-($H$120*$H$121))/(($H$119-($H$120*$H$121*EXP(-$H$121*AW20)))))*(($J$136/($J$136+100))))*$J$136*7*(400/[1]Sheet11!$H$47),IF($J$137&lt;300,((($H$119-($H$120*$H$121))/(($H$119-($H$120*$H$121*EXP(-$H$121*AW20)))))*(($J$136/($J$136+100))))*$J$136*8*(400/[1]Sheet11!$H$47),IF(AND([1]Sheet11!$H$47&lt;=50,$J$137&gt;=300),((($H$119-($H$120*$H$121))/(($H$119-($H$120*$H$121*EXP(-$H$121*AW20)))))*(($J$136/($J$136+100))*$J$136))*(400/[1]Sheet11!$H$47),IF(AND([1]Sheet11!$H$47&gt;50,[1]Sheet11!$H$47&lt;=200,$J$137&gt;=300),((($H$119-($H$120*$H$121))/(($H$119-($H$120*$H$121*EXP(-$H$121*AW20)))))*(($J$136/($J$136+100))*$J$136))*3.5*(400/[1]Sheet11!$H$47))))))+2)</f>
        <v>#VALUE!</v>
      </c>
      <c r="AY20" s="1" t="e">
        <f t="shared" si="4"/>
        <v>#VALUE!</v>
      </c>
      <c r="AZ20" t="e">
        <f>IF([1]Sheet11!$H$47=400,((((AW20/AV20)/$G$129)*$G$129*60*[1]Sheet10!$AL$629*[1]Sheet11!$H$54/(($G$129*(AX20/14.7))))*1000),((((AW20/AV20)/$G$129)*$G$129*60*[1]Sheet10!$AL$629*[1]Sheet11!$H$54/(($G$129*(AX20*(400/[1]Sheet11!$H$47)/14.7))))*1000))</f>
        <v>#VALUE!</v>
      </c>
      <c r="BA20" t="e">
        <f>AZ20/[1]Sheet11!$H$47</f>
        <v>#VALUE!</v>
      </c>
      <c r="BB20" t="e">
        <f>IF($E$224&lt;=1,ABS(1/(([1]Sheet11!$H$54/AZ20)-(([1]Sheet11!$H$54)/[1]Sheet11!$H$47))),($E$224/(([1]Sheet11!$H$54/AZ20)-(([1]Sheet11!$H$54-BD20)/[1]Sheet11!$H$47))))</f>
        <v>#VALUE!</v>
      </c>
      <c r="BC20" t="e">
        <f>(BB20/[1]Sheet11!$H$47)</f>
        <v>#VALUE!</v>
      </c>
      <c r="BD20" t="e">
        <f>IF([1]Sheet11!$H$47=400,((AX20*4389120*($D$146^(1+$J$80))/($J$81*($D$150^$J$80)))*(1.26/(3+1/$J$80))^$J$80*AW20/$AW$70),((AX20*(400/[1]Sheet11!$H$47)*4389120*($D$146^(1+$J$80)))/($J$81*($D$150^$J$80)))*(1.3/(3+1/$J$80))^$J$80*AW20/$AW$70)</f>
        <v>#VALUE!</v>
      </c>
      <c r="BE20" t="e">
        <f>IF([1]Sheet11!$H$47=400,((AX20/14.7)*([1]Sheet11!$H$47/1000)*$G$129)/((AW20/'Oil-Based Mud 1'!AV20*60)*[1]Sheet10!$AL$629*([1]Sheet11!$H$54)),((AX20*(400/[1]Sheet11!$H$47)/14.7)*([1]Sheet11!$H$47/1000)*$G$129)/((AW20/'Oil-Based Mud 1'!AV20*60)*[1]Sheet10!$AL$629*([1]Sheet11!$H$54)))-0.2</f>
        <v>#VALUE!</v>
      </c>
      <c r="BF20" t="e">
        <f t="shared" si="0"/>
        <v>#DIV/0!</v>
      </c>
      <c r="BH20">
        <v>0.437944283976473</v>
      </c>
      <c r="BJ20">
        <f>IF(AV20=0,"0",SQRT(((2*[1]Sheet11!$G$36/2*AV20)/[1]Sheet11!$H$48*((1-([1]Sheet10!$AL$625*[1]Sheet10!$AL$627))*[1]Sheet10!$AL$631/([1]Sheet10!$AL$628*[1]Sheet10!$AL$627))*60*39.37+([1]Sheet11!$G$36/2)^2)))</f>
        <v>3.4460472703229947</v>
      </c>
      <c r="BM20" s="429">
        <f>((([1]Sheet11!$H$47/BU20)-1)*LN(BP20/([1]Sheet11!$G$36/2)))</f>
        <v>4.5352396650244211</v>
      </c>
      <c r="BO20" s="17">
        <v>3020</v>
      </c>
      <c r="BP20">
        <f>SQRT(((2*[1]Sheet11!$G$36/2*BO20)/[1]Sheet11!$H$48*((1-([1]Sheet10!$AL$625*[1]Sheet10!$AL$627))*[1]Sheet10!$AL$631/([1]Sheet10!$AL$628*[1]Sheet10!$AL$627))*60*39.37))</f>
        <v>29.467321228248252</v>
      </c>
      <c r="BQ20" s="428" t="e">
        <f t="shared" si="5"/>
        <v>#REF!</v>
      </c>
      <c r="BS20">
        <v>16.022365292667999</v>
      </c>
      <c r="BU20">
        <v>67</v>
      </c>
      <c r="BW20">
        <f>SQRT(((2*[1]Sheet11!$G$36/2*BO20)/[1]Sheet11!$H$48*((1-([1]Sheet10!$AM$625*[1]Sheet10!$AM$627))*[1]Sheet10!$AM$631/([1]Sheet10!$AM$628*[1]Sheet10!$AM$627))*60*39.37))</f>
        <v>56.247543986815671</v>
      </c>
      <c r="BX20">
        <f>SQRT(((2*[1]Sheet11!$G$36/2*BO20)/[1]Sheet11!$H$48*((1-([1]Sheet10!$AN$625*[1]Sheet10!$AN$627))*[1]Sheet10!$AN$631/([1]Sheet10!$AN$628*[1]Sheet10!$AN$627))*60*39.37))</f>
        <v>40.816622453394771</v>
      </c>
      <c r="BZ20" t="e">
        <f t="shared" ca="1" si="1"/>
        <v>#NAME?</v>
      </c>
      <c r="CA20" t="e">
        <f ca="1">(CE20*[1]Sheet10!$AL$629/(7.08*[1]Sheet11!$H$53*(CF20)))*1000*LN(([1]Sheet11!$H$52*12)/(BP20))</f>
        <v>#NAME?</v>
      </c>
      <c r="CB20" t="e">
        <f ca="1">LN(BP20/([1]Sheet11!$G$36/2))/((LN(([1]Sheet11!$H$52*12)/([1]Sheet11!$G$36/2))/CA20)-LN(([1]Sheet11!$H$52*12)/BP20)/[1]Sheet11!$H$47)</f>
        <v>#NAME?</v>
      </c>
      <c r="CC20" t="e">
        <f ca="1">((([1]Sheet11!$H$47/CB20)-1)*LN(BP20/([1]Sheet11!$G$36/2)))</f>
        <v>#NAME?</v>
      </c>
      <c r="CD20" t="e">
        <f t="shared" ca="1" si="2"/>
        <v>#NAME?</v>
      </c>
      <c r="CE20" t="e">
        <f t="shared" ca="1" si="3"/>
        <v>#NAME?</v>
      </c>
      <c r="CF20" t="e">
        <f ca="1">CE20*[1]Sheet10!$AL$629*LN([1]Sheet11!$H$52*12/([1]Sheet11!$G$36/2))/(0.00708*[1]Sheet11!$H$47*[1]Sheet11!$H$53)</f>
        <v>#NAME?</v>
      </c>
      <c r="CH20" s="17">
        <v>0</v>
      </c>
      <c r="CI20" s="17">
        <v>0</v>
      </c>
      <c r="CJ20" s="17"/>
      <c r="CK20">
        <f>SQRT(((2*[1]Sheet11!$G$36/2*AV21)/[1]Sheet11!$H$48*((1-([1]Sheet10!$AL$625*[1]Sheet10!$AL$627))*[1]Sheet10!$AL$631/([1]Sheet10!$AL$628*[1]Sheet10!$AL$627))*60*39.37))</f>
        <v>2.3980165926450816</v>
      </c>
      <c r="CM20" s="430">
        <v>0</v>
      </c>
      <c r="CN20" s="431">
        <v>4599786</v>
      </c>
      <c r="CO20" s="432">
        <v>0</v>
      </c>
      <c r="CP20" s="433">
        <v>0</v>
      </c>
      <c r="CR20" t="e">
        <f>((([1]Sheet11!$H$47/CH20)-0.8)*LN(CK20/([1]Sheet11!$G$36/2)))</f>
        <v>#DIV/0!</v>
      </c>
    </row>
    <row r="21" spans="1:96" ht="15" x14ac:dyDescent="0.25">
      <c r="A21" s="455">
        <v>200</v>
      </c>
      <c r="B21" s="451">
        <v>25</v>
      </c>
      <c r="C21" s="452"/>
      <c r="D21" s="17">
        <v>0</v>
      </c>
      <c r="E21" s="17"/>
      <c r="F21" s="459" t="s">
        <v>88</v>
      </c>
      <c r="G21" s="460">
        <v>6</v>
      </c>
      <c r="H21" s="461" t="s">
        <v>229</v>
      </c>
      <c r="I21" s="17">
        <v>0</v>
      </c>
      <c r="J21" s="17"/>
      <c r="K21" s="17"/>
      <c r="L21" s="453">
        <v>4</v>
      </c>
      <c r="M21" s="447">
        <v>2</v>
      </c>
      <c r="N21" s="448">
        <v>2.25</v>
      </c>
      <c r="O21" s="448">
        <v>4.75</v>
      </c>
      <c r="P21" s="454" t="s">
        <v>80</v>
      </c>
      <c r="Q21" s="17"/>
      <c r="R21" s="17"/>
      <c r="S21" s="17"/>
      <c r="T21" s="455">
        <v>300</v>
      </c>
      <c r="U21" s="451">
        <v>32</v>
      </c>
      <c r="V21" s="17"/>
      <c r="W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>
        <v>118.98228588219401</v>
      </c>
      <c r="AL21" s="9">
        <v>194.55589012610099</v>
      </c>
      <c r="AM21" s="17"/>
      <c r="AN21" s="400">
        <v>234.45913289439301</v>
      </c>
      <c r="AO21" s="17">
        <v>79.079043113903197</v>
      </c>
      <c r="AP21" s="17"/>
      <c r="AQ21" s="400">
        <v>172.836228382212</v>
      </c>
      <c r="AR21" s="17">
        <v>33.785985513906603</v>
      </c>
      <c r="AS21" s="17"/>
      <c r="AT21" s="17">
        <v>0</v>
      </c>
      <c r="AU21" s="101">
        <v>1.0887580040261899</v>
      </c>
      <c r="AV21" s="17">
        <v>20</v>
      </c>
      <c r="AW21" s="102">
        <v>0</v>
      </c>
      <c r="AX21" s="1" t="e">
        <f>IF([1]Sheet11!$H$47&gt;=400,AT21,IF($J$137&lt;=200,((($H$119-($H$120*$H$121))/(($H$119-($H$120*$H$121*EXP(-$H$121*AW21)))))*(($J$136/($J$136+100))*$J$136))*7.5*(400/[1]Sheet11!$H$47),IF($J$137&lt;=250,((($H$119-($H$120*$H$121))/(($H$119-($H$120*$H$121*EXP(-$H$121*AW21)))))*(($J$136/($J$136+100))))*$J$136*7*(400/[1]Sheet11!$H$47),IF($J$137&lt;300,((($H$119-($H$120*$H$121))/(($H$119-($H$120*$H$121*EXP(-$H$121*AW21)))))*(($J$136/($J$136+100))))*$J$136*8*(400/[1]Sheet11!$H$47),IF(AND([1]Sheet11!$H$47&lt;=50,$J$137&gt;=300),((($H$119-($H$120*$H$121))/(($H$119-($H$120*$H$121*EXP(-$H$121*AW21)))))*(($J$136/($J$136+100))*$J$136))*(400/[1]Sheet11!$H$47),IF(AND([1]Sheet11!$H$47&gt;50,[1]Sheet11!$H$47&lt;=200,$J$137&gt;=300),((($H$119-($H$120*$H$121))/(($H$119-($H$120*$H$121*EXP(-$H$121*AW21)))))*(($J$136/($J$136+100))*$J$136))*3.5*(400/[1]Sheet11!$H$47))))))+2)</f>
        <v>#VALUE!</v>
      </c>
      <c r="AY21" s="1" t="e">
        <f t="shared" si="4"/>
        <v>#VALUE!</v>
      </c>
      <c r="AZ21" t="e">
        <f>IF([1]Sheet11!$H$47=400,((((AW21/AV21)/$G$129)*$G$129*60*[1]Sheet10!$AL$629*[1]Sheet11!$H$54/(($G$129*(AX21/14.7))))*1000),((((AW21/AV21)/$G$129)*$G$129*60*[1]Sheet10!$AL$629*[1]Sheet11!$H$54/(($G$129*(AX21*(400/[1]Sheet11!$H$47)/14.7))))*1000))</f>
        <v>#VALUE!</v>
      </c>
      <c r="BA21" t="e">
        <f>AZ21/[1]Sheet11!$H$47</f>
        <v>#VALUE!</v>
      </c>
      <c r="BB21" t="e">
        <f>IF($E$224&lt;=1,ABS(1/(([1]Sheet11!$H$54/AZ21)-(([1]Sheet11!$H$54)/[1]Sheet11!$H$47))),($E$224/(([1]Sheet11!$H$54/AZ21)-(([1]Sheet11!$H$54-BD21)/[1]Sheet11!$H$47))))</f>
        <v>#VALUE!</v>
      </c>
      <c r="BC21" t="e">
        <f>(BB21/[1]Sheet11!$H$47)</f>
        <v>#VALUE!</v>
      </c>
      <c r="BD21" t="e">
        <f>IF([1]Sheet11!$H$47=400,((AX21*4389120*($D$146^(1+$J$80))/($J$81*($D$150^$J$80)))*(1.26/(3+1/$J$80))^$J$80*AW21/$AW$70),((AX21*(400/[1]Sheet11!$H$47)*4389120*($D$146^(1+$J$80)))/($J$81*($D$150^$J$80)))*(1.3/(3+1/$J$80))^$J$80*AW21/$AW$70)</f>
        <v>#VALUE!</v>
      </c>
      <c r="BE21" t="e">
        <f>IF([1]Sheet11!$H$47=400,((AX21/14.7)*([1]Sheet11!$H$47/1000)*$G$129)/((AW21/'Oil-Based Mud 1'!AV21*60)*[1]Sheet10!$AL$629*([1]Sheet11!$H$54)),((AX21*(400/[1]Sheet11!$H$47)/14.7)*([1]Sheet11!$H$47/1000)*$G$129)/((AW21/'Oil-Based Mud 1'!AV21*60)*[1]Sheet10!$AL$629*([1]Sheet11!$H$54)))-0.2</f>
        <v>#VALUE!</v>
      </c>
      <c r="BF21" t="e">
        <f t="shared" si="0"/>
        <v>#DIV/0!</v>
      </c>
      <c r="BH21">
        <v>0.45995001196896801</v>
      </c>
      <c r="BJ21">
        <f>IF(AV21=0,"0",SQRT(((2*[1]Sheet11!$G$36/2*AV21)/[1]Sheet11!$H$48*((1-([1]Sheet10!$AL$625*[1]Sheet10!$AL$627))*[1]Sheet10!$AL$631/([1]Sheet10!$AL$628*[1]Sheet10!$AL$627))*60*39.37+([1]Sheet11!$G$36/2)^2)))</f>
        <v>3.8406358299897594</v>
      </c>
      <c r="BM21" s="429">
        <f>((([1]Sheet11!$H$47/BU21)-1)*LN(BP21/([1]Sheet11!$G$36/2)))</f>
        <v>4.5018177425678818</v>
      </c>
      <c r="BO21" s="17">
        <v>2920</v>
      </c>
      <c r="BP21">
        <f>SQRT(((2*[1]Sheet11!$G$36/2*BO21)/[1]Sheet11!$H$48*((1-([1]Sheet10!$AL$625*[1]Sheet10!$AL$627))*[1]Sheet10!$AL$631/([1]Sheet10!$AL$628*[1]Sheet10!$AL$627))*60*39.37))</f>
        <v>28.975344734373127</v>
      </c>
      <c r="BQ21" s="428" t="e">
        <f t="shared" si="5"/>
        <v>#REF!</v>
      </c>
      <c r="BS21">
        <v>16.3742248488679</v>
      </c>
      <c r="BU21">
        <v>67</v>
      </c>
      <c r="BW21">
        <f>SQRT(((2*[1]Sheet11!$G$36/2*BO21)/[1]Sheet11!$H$48*((1-([1]Sheet10!$AM$625*[1]Sheet10!$AM$627))*[1]Sheet10!$AM$631/([1]Sheet10!$AM$628*[1]Sheet10!$AM$627))*60*39.37))</f>
        <v>55.308453892219873</v>
      </c>
      <c r="BX21">
        <f>SQRT(((2*[1]Sheet11!$G$36/2*BO21)/[1]Sheet11!$H$48*((1-([1]Sheet10!$AN$625*[1]Sheet10!$AN$627))*[1]Sheet10!$AN$631/([1]Sheet10!$AN$628*[1]Sheet10!$AN$627))*60*39.37))</f>
        <v>40.135161839757586</v>
      </c>
      <c r="BZ21" t="e">
        <f t="shared" ca="1" si="1"/>
        <v>#NAME?</v>
      </c>
      <c r="CA21" t="e">
        <f ca="1">(CE21*[1]Sheet10!$AL$629/(7.08*[1]Sheet11!$H$53*(CF21)))*1000*LN(([1]Sheet11!$H$52*12)/(BP21))</f>
        <v>#NAME?</v>
      </c>
      <c r="CB21" t="e">
        <f ca="1">LN(BP21/([1]Sheet11!$G$36/2))/((LN(([1]Sheet11!$H$52*12)/([1]Sheet11!$G$36/2))/CA21)-LN(([1]Sheet11!$H$52*12)/BP21)/[1]Sheet11!$H$47)</f>
        <v>#NAME?</v>
      </c>
      <c r="CC21" t="e">
        <f ca="1">((([1]Sheet11!$H$47/CB21)-1)*LN(BP21/([1]Sheet11!$G$36/2)))</f>
        <v>#NAME?</v>
      </c>
      <c r="CD21" t="e">
        <f t="shared" ca="1" si="2"/>
        <v>#NAME?</v>
      </c>
      <c r="CE21" t="e">
        <f t="shared" ca="1" si="3"/>
        <v>#NAME?</v>
      </c>
      <c r="CF21" t="e">
        <f ca="1">CE21*[1]Sheet10!$AL$629*LN([1]Sheet11!$H$52*12/([1]Sheet11!$G$36/2))/(0.00708*[1]Sheet11!$H$47*[1]Sheet11!$H$53)</f>
        <v>#NAME?</v>
      </c>
      <c r="CH21" s="17">
        <v>0</v>
      </c>
      <c r="CI21" s="17">
        <v>0</v>
      </c>
      <c r="CJ21" s="17"/>
      <c r="CK21">
        <f>SQRT(((2*[1]Sheet11!$G$36/2*AV22)/[1]Sheet11!$H$48*((1-([1]Sheet10!$AL$625*[1]Sheet10!$AL$627))*[1]Sheet10!$AL$631/([1]Sheet10!$AL$628*[1]Sheet10!$AL$627))*60*39.37))</f>
        <v>2.9369585233539968</v>
      </c>
      <c r="CM21" s="430">
        <v>0</v>
      </c>
      <c r="CN21" s="431">
        <v>4599786</v>
      </c>
      <c r="CO21" s="432">
        <v>0</v>
      </c>
      <c r="CP21" s="433">
        <v>0</v>
      </c>
      <c r="CR21" t="e">
        <f>((([1]Sheet11!$H$47/CH21)-0.8)*LN(CK21/([1]Sheet11!$G$36/2)))</f>
        <v>#DIV/0!</v>
      </c>
    </row>
    <row r="22" spans="1:96" ht="15" x14ac:dyDescent="0.25">
      <c r="A22" s="455">
        <v>100</v>
      </c>
      <c r="B22" s="451">
        <v>17</v>
      </c>
      <c r="C22" s="452"/>
      <c r="D22" s="17">
        <v>0</v>
      </c>
      <c r="E22" s="17"/>
      <c r="F22" s="462" t="s">
        <v>230</v>
      </c>
      <c r="G22" s="460">
        <v>3</v>
      </c>
      <c r="H22" s="463" t="s">
        <v>46</v>
      </c>
      <c r="I22" s="17"/>
      <c r="J22" s="17"/>
      <c r="K22" s="17"/>
      <c r="L22" s="453">
        <v>5</v>
      </c>
      <c r="M22" s="447">
        <v>148</v>
      </c>
      <c r="N22" s="448">
        <v>2.25</v>
      </c>
      <c r="O22" s="448">
        <v>4.75</v>
      </c>
      <c r="P22" s="454" t="s">
        <v>78</v>
      </c>
      <c r="Q22" s="17"/>
      <c r="R22" s="17"/>
      <c r="S22" s="17"/>
      <c r="T22" s="17"/>
      <c r="U22" s="17"/>
      <c r="V22" s="17"/>
      <c r="W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>
        <v>103.957975091618</v>
      </c>
      <c r="AL22" s="9">
        <v>209.580200916678</v>
      </c>
      <c r="AM22" s="17"/>
      <c r="AN22" s="400">
        <v>247.74556680378399</v>
      </c>
      <c r="AO22" s="17">
        <v>65.792609204511905</v>
      </c>
      <c r="AP22" s="17"/>
      <c r="AQ22" s="400">
        <v>178.76130610794499</v>
      </c>
      <c r="AR22" s="17">
        <v>27.860907788174099</v>
      </c>
      <c r="AS22" s="17"/>
      <c r="AT22" s="17">
        <v>0</v>
      </c>
      <c r="AU22" s="101">
        <v>1.3944861390128001</v>
      </c>
      <c r="AV22" s="17">
        <v>30</v>
      </c>
      <c r="AW22" s="102">
        <v>0</v>
      </c>
      <c r="AX22" s="1" t="e">
        <f>IF([1]Sheet11!$H$47&gt;=400,AT22,IF($J$137&lt;=200,((($H$119-($H$120*$H$121))/(($H$119-($H$120*$H$121*EXP(-$H$121*AW22)))))*(($J$136/($J$136+100))*$J$136))*7.5*(400/[1]Sheet11!$H$47),IF($J$137&lt;=250,((($H$119-($H$120*$H$121))/(($H$119-($H$120*$H$121*EXP(-$H$121*AW22)))))*(($J$136/($J$136+100))))*$J$136*7*(400/[1]Sheet11!$H$47),IF($J$137&lt;300,((($H$119-($H$120*$H$121))/(($H$119-($H$120*$H$121*EXP(-$H$121*AW22)))))*(($J$136/($J$136+100))))*$J$136*8*(400/[1]Sheet11!$H$47),IF(AND([1]Sheet11!$H$47&lt;=50,$J$137&gt;=300),((($H$119-($H$120*$H$121))/(($H$119-($H$120*$H$121*EXP(-$H$121*AW22)))))*(($J$136/($J$136+100))*$J$136))*(400/[1]Sheet11!$H$47),IF(AND([1]Sheet11!$H$47&gt;50,[1]Sheet11!$H$47&lt;=200,$J$137&gt;=300),((($H$119-($H$120*$H$121))/(($H$119-($H$120*$H$121*EXP(-$H$121*AW22)))))*(($J$136/($J$136+100))*$J$136))*3.5*(400/[1]Sheet11!$H$47))))))+2)</f>
        <v>#VALUE!</v>
      </c>
      <c r="AY22" s="1" t="e">
        <f t="shared" si="4"/>
        <v>#VALUE!</v>
      </c>
      <c r="AZ22" t="e">
        <f>IF([1]Sheet11!$H$47=400,((((AW22/AV22)/$G$129)*$G$129*60*[1]Sheet10!$AL$629*[1]Sheet11!$H$54/(($G$129*(AX22/14.7))))*1000),((((AW22/AV22)/$G$129)*$G$129*60*[1]Sheet10!$AL$629*[1]Sheet11!$H$54/(($G$129*(AX22*(400/[1]Sheet11!$H$47)/14.7))))*1000))</f>
        <v>#VALUE!</v>
      </c>
      <c r="BA22" t="e">
        <f>AZ22/[1]Sheet11!$H$47</f>
        <v>#VALUE!</v>
      </c>
      <c r="BB22" t="e">
        <f>IF($E$224&lt;=1,ABS(1/(([1]Sheet11!$H$54/AZ22)-(([1]Sheet11!$H$54)/[1]Sheet11!$H$47))),($E$224/(([1]Sheet11!$H$54/AZ22)-(([1]Sheet11!$H$54-BD22)/[1]Sheet11!$H$47))))</f>
        <v>#VALUE!</v>
      </c>
      <c r="BC22" t="e">
        <f>(BB22/[1]Sheet11!$H$47)</f>
        <v>#VALUE!</v>
      </c>
      <c r="BD22" t="e">
        <f>IF([1]Sheet11!$H$47=400,((AX22*4389120*($D$146^(1+$J$80))/($J$81*($D$150^$J$80)))*(1.26/(3+1/$J$80))^$J$80*AW22/$AW$70),((AX22*(400/[1]Sheet11!$H$47)*4389120*($D$146^(1+$J$80)))/($J$81*($D$150^$J$80)))*(1.3/(3+1/$J$80))^$J$80*AW22/$AW$70)</f>
        <v>#VALUE!</v>
      </c>
      <c r="BE22" t="e">
        <f>IF([1]Sheet11!$H$47=400,((AX22/14.7)*([1]Sheet11!$H$47/1000)*$G$129)/((AW22/'Oil-Based Mud 1'!AV22*60)*[1]Sheet10!$AL$629*([1]Sheet11!$H$54)),((AX22*(400/[1]Sheet11!$H$47)/14.7)*([1]Sheet11!$H$47/1000)*$G$129)/((AW22/'Oil-Based Mud 1'!AV22*60)*[1]Sheet10!$AL$629*([1]Sheet11!$H$54)))+1.6</f>
        <v>#VALUE!</v>
      </c>
      <c r="BF22" t="e">
        <f t="shared" si="0"/>
        <v>#DIV/0!</v>
      </c>
      <c r="BH22" s="464">
        <v>0.468898619935116</v>
      </c>
      <c r="BJ22">
        <f>IF(AV22=0,"0",SQRT(((2*[1]Sheet11!$G$36/2*AV22)/[1]Sheet11!$H$48*((1-([1]Sheet10!$AL$625*[1]Sheet10!$AL$627))*[1]Sheet10!$AL$631/([1]Sheet10!$AL$628*[1]Sheet10!$AL$627))*60*39.37+([1]Sheet11!$G$36/2)^2)))</f>
        <v>4.1983002951077344</v>
      </c>
      <c r="BM22" s="429">
        <f>((([1]Sheet11!$H$47/BU22)-1)*LN(BP22/([1]Sheet11!$G$36/2)))</f>
        <v>4.4672310614715212</v>
      </c>
      <c r="BO22" s="17">
        <v>2820</v>
      </c>
      <c r="BP22">
        <f>SQRT(((2*[1]Sheet11!$G$36/2*BO22)/[1]Sheet11!$H$48*((1-([1]Sheet10!$AL$625*[1]Sheet10!$AL$627))*[1]Sheet10!$AL$631/([1]Sheet10!$AL$628*[1]Sheet10!$AL$627))*60*39.37))</f>
        <v>28.47486935146075</v>
      </c>
      <c r="BQ22" s="428" t="e">
        <f t="shared" si="5"/>
        <v>#REF!</v>
      </c>
      <c r="BS22">
        <v>16.751298536554799</v>
      </c>
      <c r="BU22">
        <v>67</v>
      </c>
      <c r="BW22">
        <f>SQRT(((2*[1]Sheet11!$G$36/2*BO22)/[1]Sheet11!$H$48*((1-([1]Sheet10!$AM$625*[1]Sheet10!$AM$627))*[1]Sheet10!$AM$631/([1]Sheet10!$AM$628*[1]Sheet10!$AM$627))*60*39.37))</f>
        <v>54.353141025582495</v>
      </c>
      <c r="BX22">
        <f>SQRT(((2*[1]Sheet11!$G$36/2*BO22)/[1]Sheet11!$H$48*((1-([1]Sheet10!$AN$625*[1]Sheet10!$AN$627))*[1]Sheet10!$AN$631/([1]Sheet10!$AN$628*[1]Sheet10!$AN$627))*60*39.37))</f>
        <v>39.441929000799355</v>
      </c>
      <c r="BZ22" t="e">
        <f t="shared" ca="1" si="1"/>
        <v>#NAME?</v>
      </c>
      <c r="CA22" t="e">
        <f ca="1">(CE22*[1]Sheet10!$AL$629/(7.08*[1]Sheet11!$H$53*(CF22)))*1000*LN(([1]Sheet11!$H$52*12)/(BP22))</f>
        <v>#NAME?</v>
      </c>
      <c r="CB22" t="e">
        <f ca="1">LN(BP22/([1]Sheet11!$G$36/2))/((LN(([1]Sheet11!$H$52*12)/([1]Sheet11!$G$36/2))/CA22)-LN(([1]Sheet11!$H$52*12)/BP22)/[1]Sheet11!$H$47)</f>
        <v>#NAME?</v>
      </c>
      <c r="CC22" t="e">
        <f ca="1">((([1]Sheet11!$H$47/CB22)-1)*LN(BP22/([1]Sheet11!$G$36/2)))</f>
        <v>#NAME?</v>
      </c>
      <c r="CD22" t="e">
        <f t="shared" ca="1" si="2"/>
        <v>#NAME?</v>
      </c>
      <c r="CE22" t="e">
        <f t="shared" ca="1" si="3"/>
        <v>#NAME?</v>
      </c>
      <c r="CF22" t="e">
        <f ca="1">CE22*[1]Sheet10!$AL$629*LN([1]Sheet11!$H$52*12/([1]Sheet11!$G$36/2))/(0.00708*[1]Sheet11!$H$47*[1]Sheet11!$H$53)</f>
        <v>#NAME?</v>
      </c>
      <c r="CH22" s="17">
        <v>0</v>
      </c>
      <c r="CI22" s="17">
        <v>0</v>
      </c>
      <c r="CJ22" s="17"/>
      <c r="CK22">
        <f>SQRT(((2*[1]Sheet11!$G$36/2*AV23)/[1]Sheet11!$H$48*((1-([1]Sheet10!$AL$625*[1]Sheet10!$AL$627))*[1]Sheet10!$AL$631/([1]Sheet10!$AL$628*[1]Sheet10!$AL$627))*60*39.37))</f>
        <v>3.1722777719726829</v>
      </c>
      <c r="CM22" s="430">
        <v>0</v>
      </c>
      <c r="CN22" s="431">
        <v>4599786</v>
      </c>
      <c r="CO22" s="432">
        <v>0</v>
      </c>
      <c r="CP22" s="433">
        <v>0</v>
      </c>
      <c r="CR22" t="e">
        <f>((([1]Sheet11!$H$47/CH22)-0.8)*LN(CK22/([1]Sheet11!$G$36/2)))</f>
        <v>#DIV/0!</v>
      </c>
    </row>
    <row r="23" spans="1:96" ht="15" x14ac:dyDescent="0.25">
      <c r="A23" s="455">
        <v>6</v>
      </c>
      <c r="B23" s="451">
        <v>7</v>
      </c>
      <c r="C23" s="452"/>
      <c r="D23" s="17">
        <v>0</v>
      </c>
      <c r="E23" s="17"/>
      <c r="F23" s="465" t="s">
        <v>231</v>
      </c>
      <c r="G23" s="466">
        <v>0</v>
      </c>
      <c r="H23" s="467" t="s">
        <v>46</v>
      </c>
      <c r="I23" s="17"/>
      <c r="J23" s="17"/>
      <c r="K23" s="17"/>
      <c r="L23" s="453">
        <v>6</v>
      </c>
      <c r="M23" s="447">
        <v>2</v>
      </c>
      <c r="N23" s="448">
        <v>2.25</v>
      </c>
      <c r="O23" s="448">
        <v>4.75</v>
      </c>
      <c r="P23" s="454" t="s">
        <v>81</v>
      </c>
      <c r="Q23" s="17"/>
      <c r="R23" s="17"/>
      <c r="S23" s="17"/>
      <c r="T23" s="17"/>
      <c r="U23" s="17"/>
      <c r="V23" s="17"/>
      <c r="W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>
        <v>98.7208229938351</v>
      </c>
      <c r="AL23" s="9">
        <v>214.81735301446099</v>
      </c>
      <c r="AM23" s="17"/>
      <c r="AN23" s="400">
        <v>252.29002318124199</v>
      </c>
      <c r="AO23" s="17">
        <v>61.248152827053602</v>
      </c>
      <c r="AP23" s="17"/>
      <c r="AQ23" s="400">
        <v>180.75393683985101</v>
      </c>
      <c r="AR23" s="17">
        <v>25.868277056267399</v>
      </c>
      <c r="AS23" s="17"/>
      <c r="AT23" s="17">
        <v>0</v>
      </c>
      <c r="AU23" s="101">
        <v>1.5287741579615399</v>
      </c>
      <c r="AV23" s="17">
        <v>35</v>
      </c>
      <c r="AW23" s="102">
        <v>0</v>
      </c>
      <c r="AX23" s="1" t="e">
        <f>IF([1]Sheet11!$H$47&gt;=400,AT23,IF($J$137&lt;=200,((($H$119-($H$120*$H$121))/(($H$119-($H$120*$H$121*EXP(-$H$121*AW23)))))*(($J$136/($J$136+100))*$J$136))*7.5*(400/[1]Sheet11!$H$47),IF($J$137&lt;=250,((($H$119-($H$120*$H$121))/(($H$119-($H$120*$H$121*EXP(-$H$121*AW23)))))*(($J$136/($J$136+100))))*$J$136*7*(400/[1]Sheet11!$H$47),IF($J$137&lt;300,((($H$119-($H$120*$H$121))/(($H$119-($H$120*$H$121*EXP(-$H$121*AW23)))))*(($J$136/($J$136+100))))*$J$136*8*(400/[1]Sheet11!$H$47),IF(AND([1]Sheet11!$H$47&lt;=50,$J$137&gt;=300),((($H$119-($H$120*$H$121))/(($H$119-($H$120*$H$121*EXP(-$H$121*AW23)))))*(($J$136/($J$136+100))*$J$136))*(400/[1]Sheet11!$H$47),IF(AND([1]Sheet11!$H$47&gt;50,[1]Sheet11!$H$47&lt;=200,$J$137&gt;=300),((($H$119-($H$120*$H$121))/(($H$119-($H$120*$H$121*EXP(-$H$121*AW23)))))*(($J$136/($J$136+100))*$J$136))*3.5*(400/[1]Sheet11!$H$47))))))+2)</f>
        <v>#VALUE!</v>
      </c>
      <c r="AY23" s="1" t="e">
        <f t="shared" si="4"/>
        <v>#VALUE!</v>
      </c>
      <c r="AZ23" t="e">
        <f>IF([1]Sheet11!$H$47=400,((((AW23/AV23)/$G$129)*$G$129*60*[1]Sheet10!$AL$629*[1]Sheet11!$H$54/(($G$129*(AX23/14.7))))*1000),((((AW23/AV23)/$G$129)*$G$129*60*[1]Sheet10!$AL$629*[1]Sheet11!$H$54/(($G$129*(AX23*(400/[1]Sheet11!$H$47)/14.7))))*1000))</f>
        <v>#VALUE!</v>
      </c>
      <c r="BA23" t="e">
        <f>AZ23/[1]Sheet11!$H$47</f>
        <v>#VALUE!</v>
      </c>
      <c r="BB23" t="e">
        <f>IF($E$224&lt;=1,ABS(1/(([1]Sheet11!$H$54/AZ23)-(([1]Sheet11!$H$54)/[1]Sheet11!$H$47))),($E$224/(([1]Sheet11!$H$54/AZ23)-(([1]Sheet11!$H$54-BD23)/[1]Sheet11!$H$47))))</f>
        <v>#VALUE!</v>
      </c>
      <c r="BC23" t="e">
        <f>(BB23/[1]Sheet11!$H$47)</f>
        <v>#VALUE!</v>
      </c>
      <c r="BD23" t="e">
        <f>IF([1]Sheet11!$H$47=400,((AX23*4389120*($D$146^(1+$J$80))/($J$81*($D$150^$J$80)))*(1.26/(3+1/$J$80))^$J$80*AW23/$AW$70),((AX23*(400/[1]Sheet11!$H$47)*4389120*($D$146^(1+$J$80)))/($J$81*($D$150^$J$80)))*(1.3/(3+1/$J$80))^$J$80*AW23/$AW$70)</f>
        <v>#VALUE!</v>
      </c>
      <c r="BE23" t="e">
        <f>IF([1]Sheet11!$H$47=400,((AX23/14.7)*([1]Sheet11!$H$47/1000)*$G$129)/((AW23/'Oil-Based Mud 1'!AV23*60)*[1]Sheet10!$AL$629*([1]Sheet11!$H$54)),((AX23*(400/[1]Sheet11!$H$47)/14.7)*([1]Sheet11!$H$47/1000)*$G$129)/((AW23/'Oil-Based Mud 1'!AV23*60)*[1]Sheet10!$AL$629*([1]Sheet11!$H$54)))+1.6</f>
        <v>#VALUE!</v>
      </c>
      <c r="BF23" t="e">
        <f t="shared" si="0"/>
        <v>#DIV/0!</v>
      </c>
      <c r="BH23">
        <v>0.47120494285075398</v>
      </c>
      <c r="BJ23">
        <f>IF(AV23=0,"0",SQRT(((2*[1]Sheet11!$G$36/2*AV23)/[1]Sheet11!$H$48*((1-([1]Sheet10!$AL$625*[1]Sheet10!$AL$627))*[1]Sheet10!$AL$631/([1]Sheet10!$AL$628*[1]Sheet10!$AL$627))*60*39.37+([1]Sheet11!$G$36/2)^2)))</f>
        <v>4.3661592117731995</v>
      </c>
      <c r="BM23" s="429">
        <f>((([1]Sheet11!$H$47/BU23)-1)*LN(BP23/([1]Sheet11!$G$36/2)))</f>
        <v>4.4494750009353039</v>
      </c>
      <c r="BO23" s="17">
        <v>2770</v>
      </c>
      <c r="BP23">
        <f>SQRT(((2*[1]Sheet11!$G$36/2*BO23)/[1]Sheet11!$H$48*((1-([1]Sheet10!$AL$625*[1]Sheet10!$AL$627))*[1]Sheet10!$AL$631/([1]Sheet10!$AL$628*[1]Sheet10!$AL$627))*60*39.37))</f>
        <v>28.221303577904688</v>
      </c>
      <c r="BQ23" s="428" t="e">
        <f t="shared" si="5"/>
        <v>#REF!</v>
      </c>
      <c r="BS23">
        <v>17.157103625112999</v>
      </c>
      <c r="BU23">
        <v>67</v>
      </c>
      <c r="BW23">
        <f>SQRT(((2*[1]Sheet11!$G$36/2*BO23)/[1]Sheet11!$H$48*((1-([1]Sheet10!$AM$625*[1]Sheet10!$AM$627))*[1]Sheet10!$AM$631/([1]Sheet10!$AM$628*[1]Sheet10!$AM$627))*60*39.37))</f>
        <v>53.869131912871801</v>
      </c>
      <c r="BX23">
        <f>SQRT(((2*[1]Sheet11!$G$36/2*BO23)/[1]Sheet11!$H$48*((1-([1]Sheet10!$AN$625*[1]Sheet10!$AN$627))*[1]Sheet10!$AN$631/([1]Sheet10!$AN$628*[1]Sheet10!$AN$627))*60*39.37))</f>
        <v>39.090702692640093</v>
      </c>
      <c r="BZ23" t="e">
        <f t="shared" ca="1" si="1"/>
        <v>#NAME?</v>
      </c>
      <c r="CA23" t="e">
        <f ca="1">(CE23*[1]Sheet10!$AL$629/(7.08*[1]Sheet11!$H$53*(CF23)))*1000*LN(([1]Sheet11!$H$52*12)/(BP23))</f>
        <v>#NAME?</v>
      </c>
      <c r="CB23" t="e">
        <f ca="1">LN(BP23/([1]Sheet11!$G$36/2))/((LN(([1]Sheet11!$H$52*12)/([1]Sheet11!$G$36/2))/CA23)-LN(([1]Sheet11!$H$52*12)/BP23)/[1]Sheet11!$H$47)</f>
        <v>#NAME?</v>
      </c>
      <c r="CC23" t="e">
        <f ca="1">((([1]Sheet11!$H$47/CB23)-1)*LN(BP23/([1]Sheet11!$G$36/2)))</f>
        <v>#NAME?</v>
      </c>
      <c r="CD23" t="e">
        <f t="shared" ca="1" si="2"/>
        <v>#NAME?</v>
      </c>
      <c r="CE23" t="e">
        <f t="shared" ca="1" si="3"/>
        <v>#NAME?</v>
      </c>
      <c r="CF23" t="e">
        <f ca="1">CE23*[1]Sheet10!$AL$629*LN([1]Sheet11!$H$52*12/([1]Sheet11!$G$36/2))/(0.00708*[1]Sheet11!$H$47*[1]Sheet11!$H$53)</f>
        <v>#NAME?</v>
      </c>
      <c r="CH23" s="17">
        <v>0</v>
      </c>
      <c r="CI23" s="17">
        <v>0</v>
      </c>
      <c r="CK23">
        <f>SQRT(((2*[1]Sheet11!$G$36/2*AV24)/[1]Sheet11!$H$48*((1-([1]Sheet10!$AL$625*[1]Sheet10!$AL$627))*[1]Sheet10!$AL$631/([1]Sheet10!$AL$628*[1]Sheet10!$AL$627))*60*39.37))</f>
        <v>3.597024888967622</v>
      </c>
      <c r="CM23" s="430">
        <v>0</v>
      </c>
      <c r="CN23" s="431">
        <v>4599786</v>
      </c>
      <c r="CO23" s="432">
        <v>0</v>
      </c>
      <c r="CP23" s="433">
        <v>0</v>
      </c>
      <c r="CR23" t="e">
        <f>((([1]Sheet11!$H$47/CH23)-0.8)*LN(CK23/([1]Sheet11!$G$36/2)))</f>
        <v>#DIV/0!</v>
      </c>
    </row>
    <row r="24" spans="1:96" ht="18.75" x14ac:dyDescent="0.3">
      <c r="A24" s="468">
        <v>3</v>
      </c>
      <c r="B24" s="451">
        <v>6</v>
      </c>
      <c r="C24" s="469"/>
      <c r="D24" s="17"/>
      <c r="E24" s="17"/>
      <c r="F24" s="470" t="s">
        <v>134</v>
      </c>
      <c r="G24" s="312"/>
      <c r="H24" s="312"/>
      <c r="I24" s="313"/>
      <c r="J24" s="17"/>
      <c r="K24" s="17"/>
      <c r="L24" s="453">
        <v>7</v>
      </c>
      <c r="M24" s="447">
        <v>2</v>
      </c>
      <c r="N24" s="448">
        <v>2.25</v>
      </c>
      <c r="O24" s="448">
        <v>4.75</v>
      </c>
      <c r="P24" s="454" t="s">
        <v>78</v>
      </c>
      <c r="Q24" s="17"/>
      <c r="R24" s="17"/>
      <c r="S24" s="17"/>
      <c r="T24" s="17"/>
      <c r="U24" s="17"/>
      <c r="V24" s="17"/>
      <c r="W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>
        <v>90.772387547582696</v>
      </c>
      <c r="AL24" s="9">
        <v>222.765788460713</v>
      </c>
      <c r="AM24" s="17"/>
      <c r="AN24" s="400">
        <v>259.119506374271</v>
      </c>
      <c r="AO24" s="17">
        <v>54.418669634024397</v>
      </c>
      <c r="AP24" s="17"/>
      <c r="AQ24" s="400">
        <v>183.72053557895899</v>
      </c>
      <c r="AR24" s="17">
        <v>22.901678317160101</v>
      </c>
      <c r="AS24" s="17"/>
      <c r="AT24" s="17">
        <v>0</v>
      </c>
      <c r="AU24" s="101">
        <v>1.7719929927350999</v>
      </c>
      <c r="AV24" s="17">
        <v>45</v>
      </c>
      <c r="AW24" s="102">
        <v>0</v>
      </c>
      <c r="AX24" s="1" t="e">
        <f>IF([1]Sheet11!$H$47&gt;=400,AT24,IF($J$137&lt;=200,((($H$119-($H$120*$H$121))/(($H$119-($H$120*$H$121*EXP(-$H$121*AW24)))))*(($J$136/($J$136+100))*$J$136))*7.5*(400/[1]Sheet11!$H$47),IF($J$137&lt;=250,((($H$119-($H$120*$H$121))/(($H$119-($H$120*$H$121*EXP(-$H$121*AW24)))))*(($J$136/($J$136+100))))*$J$136*7*(400/[1]Sheet11!$H$47),IF($J$137&lt;300,((($H$119-($H$120*$H$121))/(($H$119-($H$120*$H$121*EXP(-$H$121*AW24)))))*(($J$136/($J$136+100))))*$J$136*8*(400/[1]Sheet11!$H$47),IF(AND([1]Sheet11!$H$47&lt;=50,$J$137&gt;=300),((($H$119-($H$120*$H$121))/(($H$119-($H$120*$H$121*EXP(-$H$121*AW24)))))*(($J$136/($J$136+100))*$J$136))*(400/[1]Sheet11!$H$47),IF(AND([1]Sheet11!$H$47&gt;50,[1]Sheet11!$H$47&lt;=200,$J$137&gt;=300),((($H$119-($H$120*$H$121))/(($H$119-($H$120*$H$121*EXP(-$H$121*AW24)))))*(($J$136/($J$136+100))*$J$136))*3.5*(400/[1]Sheet11!$H$47))))))+2)</f>
        <v>#VALUE!</v>
      </c>
      <c r="AY24" s="1" t="e">
        <f t="shared" si="4"/>
        <v>#VALUE!</v>
      </c>
      <c r="AZ24" t="e">
        <f>IF([1]Sheet11!$H$47=400,((((AW24/AV24)/$G$129)*$G$129*60*[1]Sheet10!$AL$629*[1]Sheet11!$H$54/(($G$129*(AX24/14.7))))*1000),((((AW24/AV24)/$G$129)*$G$129*60*[1]Sheet10!$AL$629*[1]Sheet11!$H$54/(($G$129*(AX24*(400/[1]Sheet11!$H$47)/14.7))))*1000))</f>
        <v>#VALUE!</v>
      </c>
      <c r="BA24" t="e">
        <f>AZ24/[1]Sheet11!$H$47</f>
        <v>#VALUE!</v>
      </c>
      <c r="BB24" t="e">
        <f>IF($E$224&lt;=1,ABS(1/(([1]Sheet11!$H$54/AZ24)-(([1]Sheet11!$H$54)/[1]Sheet11!$H$47))),($E$224/(([1]Sheet11!$H$54/AZ24)-(([1]Sheet11!$H$54-BD24)/[1]Sheet11!$H$47))))</f>
        <v>#VALUE!</v>
      </c>
      <c r="BC24" t="e">
        <f>(BB24/[1]Sheet11!$H$47)</f>
        <v>#VALUE!</v>
      </c>
      <c r="BD24" t="e">
        <f>IF([1]Sheet11!$H$47=400,((AX24*4389120*($D$146^(1+$J$80))/($J$81*($D$150^$J$80)))*(1.26/(3+1/$J$80))^$J$80*AW24/$AW$70),((AX24*(400/[1]Sheet11!$H$47)*4389120*($D$146^(1+$J$80)))/($J$81*($D$150^$J$80)))*(1.3/(3+1/$J$80))^$J$80*AW24/$AW$70)</f>
        <v>#VALUE!</v>
      </c>
      <c r="BE24" t="e">
        <f>IF([1]Sheet11!$H$47=400,((AX24/14.7)*([1]Sheet11!$H$47/1000)*$G$129)/((AW24/'Oil-Based Mud 1'!AV24*60)*[1]Sheet10!$AL$629*([1]Sheet11!$H$54)),((AX24*(400/[1]Sheet11!$H$47)/14.7)*([1]Sheet11!$H$47/1000)*$G$129)/((AW24/'Oil-Based Mud 1'!AV24*60)*[1]Sheet10!$AL$629*([1]Sheet11!$H$54)))+1.6</f>
        <v>#VALUE!</v>
      </c>
      <c r="BF24" t="e">
        <f t="shared" si="0"/>
        <v>#DIV/0!</v>
      </c>
      <c r="BH24">
        <v>0.47347874924693201</v>
      </c>
      <c r="BJ24">
        <f>IF(AV24=0,"0",SQRT(((2*[1]Sheet11!$G$36/2*AV24)/[1]Sheet11!$H$48*((1-([1]Sheet10!$AL$625*[1]Sheet10!$AL$627))*[1]Sheet10!$AL$631/([1]Sheet10!$AL$628*[1]Sheet10!$AL$627))*60*39.37+([1]Sheet11!$G$36/2)^2)))</f>
        <v>4.6838646491815421</v>
      </c>
      <c r="BM24" s="429">
        <f>((([1]Sheet11!$H$47/BU24)-1)*LN(BP24/([1]Sheet11!$G$36/2)))</f>
        <v>4.4313954971625549</v>
      </c>
      <c r="BO24" s="17">
        <v>2720</v>
      </c>
      <c r="BP24">
        <f>SQRT(((2*[1]Sheet11!$G$36/2*BO24)/[1]Sheet11!$H$48*((1-([1]Sheet10!$AL$625*[1]Sheet10!$AL$627))*[1]Sheet10!$AL$631/([1]Sheet10!$AL$628*[1]Sheet10!$AL$627))*60*39.37))</f>
        <v>27.965438789508617</v>
      </c>
      <c r="BQ24" s="428" t="e">
        <f t="shared" si="5"/>
        <v>#REF!</v>
      </c>
      <c r="BS24">
        <v>18.328290967456802</v>
      </c>
      <c r="BU24">
        <v>67</v>
      </c>
      <c r="BW24">
        <f>SQRT(((2*[1]Sheet11!$G$36/2*BO24)/[1]Sheet11!$H$48*((1-([1]Sheet10!$AM$625*[1]Sheet10!$AM$627))*[1]Sheet10!$AM$631/([1]Sheet10!$AM$628*[1]Sheet10!$AM$627))*60*39.37))</f>
        <v>53.380734415572689</v>
      </c>
      <c r="BX24">
        <f>SQRT(((2*[1]Sheet11!$G$36/2*BO24)/[1]Sheet11!$H$48*((1-([1]Sheet10!$AN$625*[1]Sheet10!$AN$627))*[1]Sheet10!$AN$631/([1]Sheet10!$AN$628*[1]Sheet10!$AN$627))*60*39.37))</f>
        <v>38.736291907004492</v>
      </c>
      <c r="BZ24" t="e">
        <f t="shared" ca="1" si="1"/>
        <v>#NAME?</v>
      </c>
      <c r="CA24" t="e">
        <f ca="1">(CE24*[1]Sheet10!$AL$629/(7.08*[1]Sheet11!$H$53*(CF24)))*1000*LN(([1]Sheet11!$H$52*12)/(BP24))</f>
        <v>#NAME?</v>
      </c>
      <c r="CB24" t="e">
        <f ca="1">LN(BP24/([1]Sheet11!$G$36/2))/((LN(([1]Sheet11!$H$52*12)/([1]Sheet11!$G$36/2))/CA24)-LN(([1]Sheet11!$H$52*12)/BP24)/[1]Sheet11!$H$47)</f>
        <v>#NAME?</v>
      </c>
      <c r="CC24" t="e">
        <f ca="1">((([1]Sheet11!$H$47/CB24)-1)*LN(BP24/([1]Sheet11!$G$36/2)))</f>
        <v>#NAME?</v>
      </c>
      <c r="CD24" t="e">
        <f t="shared" ca="1" si="2"/>
        <v>#NAME?</v>
      </c>
      <c r="CE24" t="e">
        <f t="shared" ca="1" si="3"/>
        <v>#NAME?</v>
      </c>
      <c r="CF24" t="e">
        <f ca="1">CE24*[1]Sheet10!$AL$629*LN([1]Sheet11!$H$52*12/([1]Sheet11!$G$36/2))/(0.00708*[1]Sheet11!$H$47*[1]Sheet11!$H$53)</f>
        <v>#NAME?</v>
      </c>
      <c r="CH24" s="17">
        <v>0</v>
      </c>
      <c r="CI24" s="17">
        <v>0</v>
      </c>
      <c r="CK24">
        <f>SQRT(((2*[1]Sheet11!$G$36/2*AV25)/[1]Sheet11!$H$48*((1-([1]Sheet10!$AL$625*[1]Sheet10!$AL$627))*[1]Sheet10!$AL$631/([1]Sheet10!$AL$628*[1]Sheet10!$AL$627))*60*39.37))</f>
        <v>3.9766606394251318</v>
      </c>
      <c r="CM24" s="430">
        <v>0</v>
      </c>
      <c r="CN24" s="431">
        <v>4599786</v>
      </c>
      <c r="CO24" s="432">
        <v>0</v>
      </c>
      <c r="CP24" s="433">
        <v>0</v>
      </c>
      <c r="CR24" t="e">
        <f>((([1]Sheet11!$H$47/CH24)-0.8)*LN(CK24/([1]Sheet11!$G$36/2)))</f>
        <v>#DIV/0!</v>
      </c>
    </row>
    <row r="25" spans="1:96" ht="15" x14ac:dyDescent="0.25">
      <c r="A25" s="9"/>
      <c r="B25" s="17"/>
      <c r="C25" s="17"/>
      <c r="D25" s="17"/>
      <c r="E25" s="17"/>
      <c r="F25" s="260" t="s">
        <v>135</v>
      </c>
      <c r="G25" s="471"/>
      <c r="H25" s="472">
        <v>57</v>
      </c>
      <c r="I25" s="473" t="s">
        <v>232</v>
      </c>
      <c r="J25" s="17"/>
      <c r="K25" s="17"/>
      <c r="L25" s="453">
        <v>8</v>
      </c>
      <c r="M25" s="447">
        <v>2</v>
      </c>
      <c r="N25" s="448">
        <v>2.25</v>
      </c>
      <c r="O25" s="448">
        <v>4.75</v>
      </c>
      <c r="P25" s="454" t="s">
        <v>82</v>
      </c>
      <c r="Q25" s="17"/>
      <c r="R25" s="17"/>
      <c r="S25" s="17"/>
      <c r="T25" s="17"/>
      <c r="U25" s="17"/>
      <c r="V25" s="17"/>
      <c r="W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>
        <v>84.952914207978907</v>
      </c>
      <c r="AL25" s="9">
        <v>228.585261800317</v>
      </c>
      <c r="AM25" s="17"/>
      <c r="AN25" s="400">
        <v>264.07844665653602</v>
      </c>
      <c r="AO25" s="17">
        <v>49.459729351759599</v>
      </c>
      <c r="AP25" s="17"/>
      <c r="AQ25" s="400">
        <v>185.85572896676601</v>
      </c>
      <c r="AR25" s="17">
        <v>20.766484929352401</v>
      </c>
      <c r="AS25" s="17"/>
      <c r="AT25" s="17">
        <v>0</v>
      </c>
      <c r="AU25" s="101">
        <v>1.99005505954413</v>
      </c>
      <c r="AV25" s="17">
        <v>55</v>
      </c>
      <c r="AW25" s="102">
        <v>0</v>
      </c>
      <c r="AX25" s="1" t="e">
        <f>IF([1]Sheet11!$H$47&gt;=400,AT25,IF($J$137&lt;=200,((($H$119-($H$120*$H$121))/(($H$119-($H$120*$H$121*EXP(-$H$121*AW25)))))*(($J$136/($J$136+100))*$J$136))*7.5*(400/[1]Sheet11!$H$47),IF($J$137&lt;=250,((($H$119-($H$120*$H$121))/(($H$119-($H$120*$H$121*EXP(-$H$121*AW25)))))*(($J$136/($J$136+100))))*$J$136*7*(400/[1]Sheet11!$H$47),IF($J$137&lt;300,((($H$119-($H$120*$H$121))/(($H$119-($H$120*$H$121*EXP(-$H$121*AW25)))))*(($J$136/($J$136+100))))*$J$136*8*(400/[1]Sheet11!$H$47),IF(AND([1]Sheet11!$H$47&lt;=50,$J$137&gt;=300),((($H$119-($H$120*$H$121))/(($H$119-($H$120*$H$121*EXP(-$H$121*AW25)))))*(($J$136/($J$136+100))*$J$136))*(400/[1]Sheet11!$H$47),IF(AND([1]Sheet11!$H$47&gt;50,[1]Sheet11!$H$47&lt;=200,$J$137&gt;=300),((($H$119-($H$120*$H$121))/(($H$119-($H$120*$H$121*EXP(-$H$121*AW25)))))*(($J$136/($J$136+100))*$J$136))*3.5*(400/[1]Sheet11!$H$47))))))+2)</f>
        <v>#VALUE!</v>
      </c>
      <c r="AY25" s="1" t="e">
        <f t="shared" si="4"/>
        <v>#VALUE!</v>
      </c>
      <c r="AZ25" t="e">
        <f>IF([1]Sheet11!$H$47=400,((((AW25/AV25)/$G$129)*$G$129*60*[1]Sheet10!$AL$629*[1]Sheet11!$H$54/(($G$129*(AX25/14.7))))*1000),((((AW25/AV25)/$G$129)*$G$129*60*[1]Sheet10!$AL$629*[1]Sheet11!$H$54/(($G$129*(AX25*(400/[1]Sheet11!$H$47)/14.7))))*1000))</f>
        <v>#VALUE!</v>
      </c>
      <c r="BA25" t="e">
        <f>AZ25/[1]Sheet11!$H$47</f>
        <v>#VALUE!</v>
      </c>
      <c r="BB25" t="e">
        <f>IF($E$224&lt;=1,ABS(1/(([1]Sheet11!$H$54/AZ25)-(([1]Sheet11!$H$54)/[1]Sheet11!$H$47))),($E$224/(([1]Sheet11!$H$54/AZ25)-(([1]Sheet11!$H$54-BD25)/[1]Sheet11!$H$47))))</f>
        <v>#VALUE!</v>
      </c>
      <c r="BC25" t="e">
        <f>(BB25/[1]Sheet11!$H$47)</f>
        <v>#VALUE!</v>
      </c>
      <c r="BD25" t="e">
        <f>IF([1]Sheet11!$H$47=400,((AX25*4389120*($D$146^(1+$J$80))/($J$81*($D$150^$J$80)))*(1.26/(3+1/$J$80))^$J$80*AW25/$AW$70),((AX25*(400/[1]Sheet11!$H$47)*4389120*($D$146^(1+$J$80)))/($J$81*($D$150^$J$80)))*(1.3/(3+1/$J$80))^$J$80*AW25/$AW$70)</f>
        <v>#VALUE!</v>
      </c>
      <c r="BE25" t="e">
        <f>IF([1]Sheet11!$H$47=400,((AX25/14.7)*([1]Sheet11!$H$47/1000)*$G$129)/((AW25/'Oil-Based Mud 1'!AV25*60)*[1]Sheet10!$AL$629*([1]Sheet11!$H$54)),((AX25*(400/[1]Sheet11!$H$47)/14.7)*([1]Sheet11!$H$47/1000)*$G$129)/((AW25/'Oil-Based Mud 1'!AV25*60)*[1]Sheet10!$AL$629*([1]Sheet11!$H$54)))+1.6</f>
        <v>#VALUE!</v>
      </c>
      <c r="BF25" t="e">
        <f t="shared" si="0"/>
        <v>#DIV/0!</v>
      </c>
      <c r="BH25">
        <v>0.47388029799381898</v>
      </c>
      <c r="BJ25">
        <f>IF(AV25=0,"0",SQRT(((2*[1]Sheet11!$G$36/2*AV25)/[1]Sheet11!$H$48*((1-([1]Sheet10!$AL$625*[1]Sheet10!$AL$627))*[1]Sheet10!$AL$631/([1]Sheet10!$AL$628*[1]Sheet10!$AL$627))*60*39.37+([1]Sheet11!$G$36/2)^2)))</f>
        <v>4.9813481951328296</v>
      </c>
      <c r="BM25" s="429">
        <f>((([1]Sheet11!$H$47/BU25)-1)*LN(BP25/([1]Sheet11!$G$36/2)))</f>
        <v>4.4129805475346862</v>
      </c>
      <c r="BO25" s="17">
        <v>2670</v>
      </c>
      <c r="BP25">
        <f>SQRT(((2*[1]Sheet11!$G$36/2*BO25)/[1]Sheet11!$H$48*((1-([1]Sheet10!$AL$625*[1]Sheet10!$AL$627))*[1]Sheet10!$AL$631/([1]Sheet10!$AL$628*[1]Sheet10!$AL$627))*60*39.37))</f>
        <v>27.707211294954433</v>
      </c>
      <c r="BQ25" s="428" t="e">
        <f t="shared" si="5"/>
        <v>#REF!</v>
      </c>
      <c r="BS25">
        <v>18.595664430546499</v>
      </c>
      <c r="BU25">
        <v>67</v>
      </c>
      <c r="BW25">
        <f>SQRT(((2*[1]Sheet11!$G$36/2*BO25)/[1]Sheet11!$H$48*((1-([1]Sheet10!$AM$625*[1]Sheet10!$AM$627))*[1]Sheet10!$AM$631/([1]Sheet10!$AM$628*[1]Sheet10!$AM$627))*60*39.37))</f>
        <v>52.887826959002872</v>
      </c>
      <c r="BX25">
        <f>SQRT(((2*[1]Sheet11!$G$36/2*BO25)/[1]Sheet11!$H$48*((1-([1]Sheet10!$AN$625*[1]Sheet10!$AN$627))*[1]Sheet10!$AN$631/([1]Sheet10!$AN$628*[1]Sheet10!$AN$627))*60*39.37))</f>
        <v>38.378608421944421</v>
      </c>
      <c r="BZ25" t="e">
        <f t="shared" ca="1" si="1"/>
        <v>#NAME?</v>
      </c>
      <c r="CA25" t="e">
        <f ca="1">(CE25*[1]Sheet10!$AL$629/(7.08*[1]Sheet11!$H$53*(CF25)))*1000*LN(([1]Sheet11!$H$52*12)/(BP25))</f>
        <v>#NAME?</v>
      </c>
      <c r="CB25" t="e">
        <f ca="1">LN(BP25/([1]Sheet11!$G$36/2))/((LN(([1]Sheet11!$H$52*12)/([1]Sheet11!$G$36/2))/CA25)-LN(([1]Sheet11!$H$52*12)/BP25)/[1]Sheet11!$H$47)</f>
        <v>#NAME?</v>
      </c>
      <c r="CC25" t="e">
        <f ca="1">((([1]Sheet11!$H$47/CB25)-1)*LN(BP25/([1]Sheet11!$G$36/2)))</f>
        <v>#NAME?</v>
      </c>
      <c r="CD25" t="e">
        <f t="shared" ca="1" si="2"/>
        <v>#NAME?</v>
      </c>
      <c r="CE25" t="e">
        <f t="shared" ca="1" si="3"/>
        <v>#NAME?</v>
      </c>
      <c r="CF25" t="e">
        <f ca="1">CE25*[1]Sheet10!$AL$629*LN([1]Sheet11!$H$52*12/([1]Sheet11!$G$36/2))/(0.00708*[1]Sheet11!$H$47*[1]Sheet11!$H$53)</f>
        <v>#NAME?</v>
      </c>
      <c r="CH25" s="17">
        <v>0</v>
      </c>
      <c r="CI25" s="17">
        <v>0</v>
      </c>
      <c r="CK25">
        <f>SQRT(((2*[1]Sheet11!$G$36/2*AV26)/[1]Sheet11!$H$48*((1-([1]Sheet10!$AL$625*[1]Sheet10!$AL$627))*[1]Sheet10!$AL$631/([1]Sheet10!$AL$628*[1]Sheet10!$AL$627))*60*39.37))</f>
        <v>4.3230858920976409</v>
      </c>
      <c r="CM25" s="430">
        <v>0</v>
      </c>
      <c r="CN25" s="431">
        <v>4599786</v>
      </c>
      <c r="CO25" s="432">
        <v>0</v>
      </c>
      <c r="CP25" s="433">
        <v>0</v>
      </c>
      <c r="CR25" t="e">
        <f>((([1]Sheet11!$H$47/CH25)-0.8)*LN(CK25/([1]Sheet11!$G$36/2)))</f>
        <v>#DIV/0!</v>
      </c>
    </row>
    <row r="26" spans="1:96" ht="18.75" x14ac:dyDescent="0.3">
      <c r="A26" s="474" t="s">
        <v>4</v>
      </c>
      <c r="B26" s="475"/>
      <c r="C26" s="476"/>
      <c r="D26" s="477"/>
      <c r="E26" s="17"/>
      <c r="F26" s="229" t="s">
        <v>136</v>
      </c>
      <c r="G26" s="48"/>
      <c r="H26" s="472">
        <v>28</v>
      </c>
      <c r="I26" s="478" t="s">
        <v>232</v>
      </c>
      <c r="J26" s="17"/>
      <c r="K26" s="17"/>
      <c r="L26" s="453">
        <v>9</v>
      </c>
      <c r="M26" s="447">
        <v>2</v>
      </c>
      <c r="N26" s="448">
        <v>2.25</v>
      </c>
      <c r="O26" s="448">
        <v>4.75</v>
      </c>
      <c r="P26" s="454" t="s">
        <v>78</v>
      </c>
      <c r="Q26" s="17"/>
      <c r="R26" s="17"/>
      <c r="S26" s="17"/>
      <c r="T26" s="17"/>
      <c r="U26" s="17"/>
      <c r="V26" s="17"/>
      <c r="W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>
        <v>80.460261626511596</v>
      </c>
      <c r="AL26" s="9">
        <v>233.07791438178401</v>
      </c>
      <c r="AM26" s="17"/>
      <c r="AN26" s="400">
        <v>267.88958354689203</v>
      </c>
      <c r="AO26" s="17">
        <v>45.648592461403801</v>
      </c>
      <c r="AP26" s="17"/>
      <c r="AQ26" s="400">
        <v>187.48705537250399</v>
      </c>
      <c r="AR26" s="17">
        <v>19.135158523614699</v>
      </c>
      <c r="AS26" s="17"/>
      <c r="AT26" s="17">
        <v>0</v>
      </c>
      <c r="AU26" s="101">
        <v>2.18945224319621</v>
      </c>
      <c r="AV26" s="17">
        <v>65</v>
      </c>
      <c r="AW26" s="102">
        <v>0</v>
      </c>
      <c r="AX26" s="1" t="e">
        <f>IF([1]Sheet11!$H$47&gt;=400,AT26,IF($J$137&lt;=200,((($H$119-($H$120*$H$121))/(($H$119-($H$120*$H$121*EXP(-$H$121*AW26)))))*(($J$136/($J$136+100))*$J$136))*7.5*(400/[1]Sheet11!$H$47),IF($J$137&lt;=250,((($H$119-($H$120*$H$121))/(($H$119-($H$120*$H$121*EXP(-$H$121*AW26)))))*(($J$136/($J$136+100))))*$J$136*7*(400/[1]Sheet11!$H$47),IF($J$137&lt;300,((($H$119-($H$120*$H$121))/(($H$119-($H$120*$H$121*EXP(-$H$121*AW26)))))*(($J$136/($J$136+100))))*$J$136*8*(400/[1]Sheet11!$H$47),IF(AND([1]Sheet11!$H$47&lt;=50,$J$137&gt;=300),((($H$119-($H$120*$H$121))/(($H$119-($H$120*$H$121*EXP(-$H$121*AW26)))))*(($J$136/($J$136+100))*$J$136))*(400/[1]Sheet11!$H$47),IF(AND([1]Sheet11!$H$47&gt;50,[1]Sheet11!$H$47&lt;=200,$J$137&gt;=300),((($H$119-($H$120*$H$121))/(($H$119-($H$120*$H$121*EXP(-$H$121*AW26)))))*(($J$136/($J$136+100))*$J$136))*3.5*(400/[1]Sheet11!$H$47))))))+2)</f>
        <v>#VALUE!</v>
      </c>
      <c r="AY26" s="1" t="e">
        <f t="shared" si="4"/>
        <v>#VALUE!</v>
      </c>
      <c r="AZ26" t="e">
        <f>IF([1]Sheet11!$H$47=400,((((AW26/AV26)/$G$129)*$G$129*60*[1]Sheet10!$AL$629*[1]Sheet11!$H$54/(($G$129*(AX26/14.7))))*1000),((((AW26/AV26)/$G$129)*$G$129*60*[1]Sheet10!$AL$629*[1]Sheet11!$H$54/(($G$129*(AX26*(400/[1]Sheet11!$H$47)/14.7))))*1000))</f>
        <v>#VALUE!</v>
      </c>
      <c r="BA26" t="e">
        <f>AZ26/[1]Sheet11!$H$47</f>
        <v>#VALUE!</v>
      </c>
      <c r="BB26" t="e">
        <f>IF($E$224&lt;=1,ABS(1/(([1]Sheet11!$H$54/AZ26)-(([1]Sheet11!$H$54)/[1]Sheet11!$H$47))),($E$224/(([1]Sheet11!$H$54/AZ26)-(([1]Sheet11!$H$54-BD26)/[1]Sheet11!$H$47))))</f>
        <v>#VALUE!</v>
      </c>
      <c r="BC26" t="e">
        <f>(BB26/[1]Sheet11!$H$47)</f>
        <v>#VALUE!</v>
      </c>
      <c r="BD26" t="e">
        <f>IF([1]Sheet11!$H$47=400,((AX26*4389120*($D$146^(1+$J$80))/($J$81*($D$150^$J$80)))*(1.26/(3+1/$J$80))^$J$80*AW26/$AW$70),((AX26*(400/[1]Sheet11!$H$47)*4389120*($D$146^(1+$J$80)))/($J$81*($D$150^$J$80)))*(1.3/(3+1/$J$80))^$J$80*AW26/$AW$70)</f>
        <v>#VALUE!</v>
      </c>
      <c r="BE26" t="e">
        <f>IF([1]Sheet11!$H$47=400,((AX26/14.7)*([1]Sheet11!$H$47/1000)*$G$129)/((AW26/'Oil-Based Mud 1'!AV26*60)*[1]Sheet10!$AL$629*([1]Sheet11!$H$54)),((AX26*(400/[1]Sheet11!$H$47)/14.7)*([1]Sheet11!$H$47/1000)*$G$129)/((AW26/'Oil-Based Mud 1'!AV26*60)*[1]Sheet10!$AL$629*([1]Sheet11!$H$54)))+1.6</f>
        <v>#VALUE!</v>
      </c>
      <c r="BF26" t="e">
        <f t="shared" si="0"/>
        <v>#DIV/0!</v>
      </c>
      <c r="BH26">
        <v>0.47321403059773098</v>
      </c>
      <c r="BJ26">
        <f>IF(AV26=0,"0",SQRT(((2*[1]Sheet11!$G$36/2*AV26)/[1]Sheet11!$H$48*((1-([1]Sheet10!$AL$625*[1]Sheet10!$AL$627))*[1]Sheet10!$AL$631/([1]Sheet10!$AL$628*[1]Sheet10!$AL$627))*60*39.37+([1]Sheet11!$G$36/2)^2)))</f>
        <v>5.2620406336756522</v>
      </c>
      <c r="BM26" s="429">
        <f>((([1]Sheet11!$H$47/BU26)-1)*LN(BP26/([1]Sheet11!$G$36/2)))</f>
        <v>4.3942174686764233</v>
      </c>
      <c r="BO26" s="17">
        <v>2620</v>
      </c>
      <c r="BP26">
        <f>SQRT(((2*[1]Sheet11!$G$36/2*BO26)/[1]Sheet11!$H$48*((1-([1]Sheet10!$AL$625*[1]Sheet10!$AL$627))*[1]Sheet10!$AL$631/([1]Sheet10!$AL$628*[1]Sheet10!$AL$627))*60*39.37))</f>
        <v>27.446554406641784</v>
      </c>
      <c r="BQ26" s="428" t="e">
        <f t="shared" si="5"/>
        <v>#REF!</v>
      </c>
      <c r="BS26">
        <v>18.876492439508102</v>
      </c>
      <c r="BU26">
        <v>67</v>
      </c>
      <c r="BW26">
        <f>SQRT(((2*[1]Sheet11!$G$36/2*BO26)/[1]Sheet11!$H$48*((1-([1]Sheet10!$AM$625*[1]Sheet10!$AM$627))*[1]Sheet10!$AM$631/([1]Sheet10!$AM$628*[1]Sheet10!$AM$627))*60*39.37))</f>
        <v>52.390282249143823</v>
      </c>
      <c r="BX26">
        <f>SQRT(((2*[1]Sheet11!$G$36/2*BO26)/[1]Sheet11!$H$48*((1-([1]Sheet10!$AN$625*[1]Sheet10!$AN$627))*[1]Sheet10!$AN$631/([1]Sheet10!$AN$628*[1]Sheet10!$AN$627))*60*39.37))</f>
        <v>38.017559865215247</v>
      </c>
      <c r="BZ26" t="e">
        <f t="shared" ca="1" si="1"/>
        <v>#NAME?</v>
      </c>
      <c r="CA26" t="e">
        <f ca="1">(CE26*[1]Sheet10!$AL$629/(7.08*[1]Sheet11!$H$53*(CF26)))*1000*LN(([1]Sheet11!$H$52*12)/(BP26))</f>
        <v>#NAME?</v>
      </c>
      <c r="CB26" t="e">
        <f ca="1">LN(BP26/([1]Sheet11!$G$36/2))/((LN(([1]Sheet11!$H$52*12)/([1]Sheet11!$G$36/2))/CA26)-LN(([1]Sheet11!$H$52*12)/BP26)/[1]Sheet11!$H$47)</f>
        <v>#NAME?</v>
      </c>
      <c r="CC26" t="e">
        <f ca="1">((([1]Sheet11!$H$47/CB26)-1)*LN(BP26/([1]Sheet11!$G$36/2)))</f>
        <v>#NAME?</v>
      </c>
      <c r="CD26" t="e">
        <f t="shared" ca="1" si="2"/>
        <v>#NAME?</v>
      </c>
      <c r="CE26" t="e">
        <f t="shared" ca="1" si="3"/>
        <v>#NAME?</v>
      </c>
      <c r="CF26" t="e">
        <f ca="1">CE26*[1]Sheet10!$AL$629*LN([1]Sheet11!$H$52*12/([1]Sheet11!$G$36/2))/(0.00708*[1]Sheet11!$H$47*[1]Sheet11!$H$53)</f>
        <v>#NAME?</v>
      </c>
      <c r="CH26" s="17">
        <v>0</v>
      </c>
      <c r="CI26" s="17">
        <v>0</v>
      </c>
      <c r="CK26">
        <f>SQRT(((2*[1]Sheet11!$G$36/2*AV27)/[1]Sheet11!$H$48*((1-([1]Sheet10!$AL$625*[1]Sheet10!$AL$627))*[1]Sheet10!$AL$631/([1]Sheet10!$AL$628*[1]Sheet10!$AL$627))*60*39.37))</f>
        <v>4.6437391636217278</v>
      </c>
      <c r="CM26" s="430">
        <v>0</v>
      </c>
      <c r="CN26" s="431">
        <v>4599786</v>
      </c>
      <c r="CO26" s="432">
        <v>0</v>
      </c>
      <c r="CP26" s="433">
        <v>0</v>
      </c>
      <c r="CR26" t="e">
        <f>((([1]Sheet11!$H$47/CH26)-0.8)*LN(CK26/([1]Sheet11!$G$36/2)))</f>
        <v>#DIV/0!</v>
      </c>
    </row>
    <row r="27" spans="1:96" ht="18.75" x14ac:dyDescent="0.3">
      <c r="A27" s="77" t="s">
        <v>6</v>
      </c>
      <c r="B27" s="479"/>
      <c r="C27" s="480">
        <v>5.875</v>
      </c>
      <c r="D27" s="481" t="s">
        <v>7</v>
      </c>
      <c r="E27" s="17"/>
      <c r="F27" s="229" t="s">
        <v>137</v>
      </c>
      <c r="G27" s="47"/>
      <c r="H27" s="472">
        <v>0</v>
      </c>
      <c r="I27" s="478" t="s">
        <v>22</v>
      </c>
      <c r="J27" s="17"/>
      <c r="K27" s="17"/>
      <c r="L27" s="453">
        <v>10</v>
      </c>
      <c r="M27" s="447">
        <v>176</v>
      </c>
      <c r="N27" s="448">
        <v>2.25</v>
      </c>
      <c r="O27" s="448">
        <v>4.75</v>
      </c>
      <c r="P27" s="454" t="s">
        <v>85</v>
      </c>
      <c r="Q27" s="17"/>
      <c r="R27" s="17"/>
      <c r="S27" s="17"/>
      <c r="T27" s="17"/>
      <c r="U27" s="17"/>
      <c r="V27" s="17"/>
      <c r="W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>
        <v>76.860012435507599</v>
      </c>
      <c r="AL27" s="9">
        <v>236.67816357278801</v>
      </c>
      <c r="AM27" s="17"/>
      <c r="AN27" s="400">
        <v>270.93679358240399</v>
      </c>
      <c r="AO27" s="17">
        <v>42.601382425892197</v>
      </c>
      <c r="AP27" s="17"/>
      <c r="AQ27" s="400">
        <v>188.78587827050501</v>
      </c>
      <c r="AR27" s="17">
        <v>17.836335625613302</v>
      </c>
      <c r="AS27" s="17"/>
      <c r="AT27" s="17">
        <v>0</v>
      </c>
      <c r="AU27" s="101">
        <v>2.3742877683769801</v>
      </c>
      <c r="AV27" s="17">
        <v>75</v>
      </c>
      <c r="AW27" s="102">
        <v>0</v>
      </c>
      <c r="AX27" s="1" t="e">
        <f>IF([1]Sheet11!$H$47&gt;=400,AT27,IF($J$137&lt;=200,((($H$119-($H$120*$H$121))/(($H$119-($H$120*$H$121*EXP(-$H$121*AW27)))))*(($J$136/($J$136+100))*$J$136))*7.5*(400/[1]Sheet11!$H$47),IF($J$137&lt;=250,((($H$119-($H$120*$H$121))/(($H$119-($H$120*$H$121*EXP(-$H$121*AW27)))))*(($J$136/($J$136+100))))*$J$136*7*(400/[1]Sheet11!$H$47),IF($J$137&lt;300,((($H$119-($H$120*$H$121))/(($H$119-($H$120*$H$121*EXP(-$H$121*AW27)))))*(($J$136/($J$136+100))))*$J$136*8*(400/[1]Sheet11!$H$47),IF(AND([1]Sheet11!$H$47&lt;=50,$J$137&gt;=300),((($H$119-($H$120*$H$121))/(($H$119-($H$120*$H$121*EXP(-$H$121*AW27)))))*(($J$136/($J$136+100))*$J$136))*(400/[1]Sheet11!$H$47),IF(AND([1]Sheet11!$H$47&gt;50,[1]Sheet11!$H$47&lt;=200,$J$137&gt;=300),((($H$119-($H$120*$H$121))/(($H$119-($H$120*$H$121*EXP(-$H$121*AW27)))))*(($J$136/($J$136+100))*$J$136))*3.5*(400/[1]Sheet11!$H$47))))))+2)</f>
        <v>#VALUE!</v>
      </c>
      <c r="AY27" s="1" t="e">
        <f t="shared" si="4"/>
        <v>#VALUE!</v>
      </c>
      <c r="AZ27" t="e">
        <f>IF([1]Sheet11!$H$47=400,((((AW27/AV27)/$G$129)*$G$129*60*[1]Sheet10!$AL$629*[1]Sheet11!$H$54/(($G$129*(AX27/14.7))))*1000),((((AW27/AV27)/$G$129)*$G$129*60*[1]Sheet10!$AL$629*[1]Sheet11!$H$54/(($G$129*(AX27*(400/[1]Sheet11!$H$47)/14.7))))*1000))</f>
        <v>#VALUE!</v>
      </c>
      <c r="BA27" t="e">
        <f>AZ27/[1]Sheet11!$H$47</f>
        <v>#VALUE!</v>
      </c>
      <c r="BB27" t="e">
        <f>IF($E$224&lt;=1,ABS(1/(([1]Sheet11!$H$54/AZ27)-(([1]Sheet11!$H$54)/[1]Sheet11!$H$47))),($E$224/(([1]Sheet11!$H$54/AZ27)-(([1]Sheet11!$H$54-BD27)/[1]Sheet11!$H$47))))</f>
        <v>#VALUE!</v>
      </c>
      <c r="BC27" t="e">
        <f>(BB27/[1]Sheet11!$H$47)</f>
        <v>#VALUE!</v>
      </c>
      <c r="BD27" t="e">
        <f>IF([1]Sheet11!$H$47=400,((AX27*4389120*($D$146^(1+$J$80))/($J$81*($D$150^$J$80)))*(1.26/(3+1/$J$80))^$J$80*AW27/$AW$70),((AX27*(400/[1]Sheet11!$H$47)*4389120*($D$146^(1+$J$80)))/($J$81*($D$150^$J$80)))*(1.3/(3+1/$J$80))^$J$80*AW27/$AW$70)</f>
        <v>#VALUE!</v>
      </c>
      <c r="BE27" t="e">
        <f>IF([1]Sheet11!$H$47=400,((AX27/14.7)*([1]Sheet11!$H$47/1000)*$G$129)/((AW27/'Oil-Based Mud 1'!AV27*60)*[1]Sheet10!$AL$629*([1]Sheet11!$H$54)),((AX27*(400/[1]Sheet11!$H$47)/14.7)*([1]Sheet11!$H$47/1000)*$G$129)/((AW27/'Oil-Based Mud 1'!AV27*60)*[1]Sheet10!$AL$629*([1]Sheet11!$H$54)))+1.6</f>
        <v>#VALUE!</v>
      </c>
      <c r="BF27" t="e">
        <f t="shared" si="0"/>
        <v>#DIV/0!</v>
      </c>
      <c r="BH27">
        <v>0.47190658456497198</v>
      </c>
      <c r="BJ27">
        <f>IF(AV27=0,"0",SQRT(((2*[1]Sheet11!$G$36/2*AV27)/[1]Sheet11!$H$48*((1-([1]Sheet10!$AL$625*[1]Sheet10!$AL$627))*[1]Sheet10!$AL$631/([1]Sheet10!$AL$628*[1]Sheet10!$AL$627))*60*39.37+([1]Sheet11!$G$36/2)^2)))</f>
        <v>5.5285001057930918</v>
      </c>
      <c r="BM27" s="429">
        <f>((([1]Sheet11!$H$47/BU27)-1)*LN(BP27/([1]Sheet11!$G$36/2)))</f>
        <v>4.3750928439811867</v>
      </c>
      <c r="BO27" s="17">
        <v>2570</v>
      </c>
      <c r="BP27">
        <f>SQRT(((2*[1]Sheet11!$G$36/2*BO27)/[1]Sheet11!$H$48*((1-([1]Sheet10!$AL$625*[1]Sheet10!$AL$627))*[1]Sheet10!$AL$631/([1]Sheet10!$AL$628*[1]Sheet10!$AL$627))*60*39.37))</f>
        <v>27.183398239555054</v>
      </c>
      <c r="BQ27" s="428" t="e">
        <f t="shared" si="5"/>
        <v>#REF!</v>
      </c>
      <c r="BS27">
        <v>19.172113771285801</v>
      </c>
      <c r="BU27">
        <v>67</v>
      </c>
      <c r="BW27">
        <f>SQRT(((2*[1]Sheet11!$G$36/2*BO27)/[1]Sheet11!$H$48*((1-([1]Sheet10!$AM$625*[1]Sheet10!$AM$627))*[1]Sheet10!$AM$631/([1]Sheet10!$AM$628*[1]Sheet10!$AM$627))*60*39.37))</f>
        <v>51.887966888715908</v>
      </c>
      <c r="BX27">
        <f>SQRT(((2*[1]Sheet11!$G$36/2*BO27)/[1]Sheet11!$H$48*((1-([1]Sheet10!$AN$625*[1]Sheet10!$AN$627))*[1]Sheet10!$AN$631/([1]Sheet10!$AN$628*[1]Sheet10!$AN$627))*60*39.37))</f>
        <v>37.653049435676614</v>
      </c>
      <c r="BZ27" t="e">
        <f t="shared" ca="1" si="1"/>
        <v>#NAME?</v>
      </c>
      <c r="CA27" t="e">
        <f ca="1">(CE27*[1]Sheet10!$AL$629/(7.08*[1]Sheet11!$H$53*(CF27)))*1000*LN(([1]Sheet11!$H$52*12)/(BP27))</f>
        <v>#NAME?</v>
      </c>
      <c r="CB27" t="e">
        <f ca="1">LN(BP27/([1]Sheet11!$G$36/2))/((LN(([1]Sheet11!$H$52*12)/([1]Sheet11!$G$36/2))/CA27)-LN(([1]Sheet11!$H$52*12)/BP27)/[1]Sheet11!$H$47)</f>
        <v>#NAME?</v>
      </c>
      <c r="CC27" t="e">
        <f ca="1">((([1]Sheet11!$H$47/CB27)-1)*LN(BP27/([1]Sheet11!$G$36/2)))</f>
        <v>#NAME?</v>
      </c>
      <c r="CD27" t="e">
        <f t="shared" ca="1" si="2"/>
        <v>#NAME?</v>
      </c>
      <c r="CE27" t="e">
        <f t="shared" ca="1" si="3"/>
        <v>#NAME?</v>
      </c>
      <c r="CF27" t="e">
        <f ca="1">CE27*[1]Sheet10!$AL$629*LN([1]Sheet11!$H$52*12/([1]Sheet11!$G$36/2))/(0.00708*[1]Sheet11!$H$47*[1]Sheet11!$H$53)</f>
        <v>#NAME?</v>
      </c>
      <c r="CH27" s="17">
        <v>0</v>
      </c>
      <c r="CI27" s="17">
        <v>0</v>
      </c>
      <c r="CK27">
        <f>SQRT(((2*[1]Sheet11!$G$36/2*AV28)/[1]Sheet11!$H$48*((1-([1]Sheet10!$AL$625*[1]Sheet10!$AL$627))*[1]Sheet10!$AL$631/([1]Sheet10!$AL$628*[1]Sheet10!$AL$627))*60*39.37))</f>
        <v>4.943637851729715</v>
      </c>
      <c r="CM27" s="430">
        <v>0</v>
      </c>
      <c r="CN27" s="431">
        <v>4599786</v>
      </c>
      <c r="CO27" s="432">
        <v>0</v>
      </c>
      <c r="CP27" s="433">
        <v>0</v>
      </c>
      <c r="CR27" t="e">
        <f>((([1]Sheet11!$H$47/CH27)-0.8)*LN(CK27/([1]Sheet11!$G$36/2)))</f>
        <v>#DIV/0!</v>
      </c>
    </row>
    <row r="28" spans="1:96" ht="18.75" x14ac:dyDescent="0.3">
      <c r="A28" s="482" t="s">
        <v>16</v>
      </c>
      <c r="B28" s="483"/>
      <c r="C28" s="484">
        <v>14580</v>
      </c>
      <c r="D28" s="485" t="s">
        <v>42</v>
      </c>
      <c r="E28" s="17">
        <v>0</v>
      </c>
      <c r="F28" s="237" t="s">
        <v>138</v>
      </c>
      <c r="G28" s="486"/>
      <c r="H28" s="472">
        <v>330</v>
      </c>
      <c r="I28" s="487" t="s">
        <v>201</v>
      </c>
      <c r="J28" s="17"/>
      <c r="K28" s="17"/>
      <c r="L28" s="488">
        <v>11</v>
      </c>
      <c r="M28" s="447">
        <v>6</v>
      </c>
      <c r="N28" s="448">
        <v>2.25</v>
      </c>
      <c r="O28" s="448">
        <v>4.75</v>
      </c>
      <c r="P28" s="489" t="s">
        <v>86</v>
      </c>
      <c r="Q28" s="17"/>
      <c r="R28" s="17"/>
      <c r="S28" s="17"/>
      <c r="T28" s="17"/>
      <c r="U28" s="17"/>
      <c r="V28" s="17"/>
      <c r="W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>
        <v>73.893766895270801</v>
      </c>
      <c r="AL28" s="9">
        <v>239.64440911302501</v>
      </c>
      <c r="AM28" s="17"/>
      <c r="AN28" s="400">
        <v>273.44533190291202</v>
      </c>
      <c r="AO28" s="17">
        <v>40.092844105384003</v>
      </c>
      <c r="AP28" s="17"/>
      <c r="AQ28" s="400">
        <v>189.851697575343</v>
      </c>
      <c r="AR28" s="17">
        <v>16.770516320776</v>
      </c>
      <c r="AS28" s="17"/>
      <c r="AT28" s="17">
        <v>0</v>
      </c>
      <c r="AU28" s="101">
        <v>2.5473509654295099</v>
      </c>
      <c r="AV28" s="17">
        <v>85</v>
      </c>
      <c r="AW28" s="102">
        <v>0</v>
      </c>
      <c r="AX28" s="1" t="e">
        <f>IF([1]Sheet11!$H$47&gt;=400,AT28,IF($J$137&lt;=200,((($H$119-($H$120*$H$121))/(($H$119-($H$120*$H$121*EXP(-$H$121*AW28)))))*(($J$136/($J$136+100))*$J$136))*7.5*(400/[1]Sheet11!$H$47),IF($J$137&lt;=250,((($H$119-($H$120*$H$121))/(($H$119-($H$120*$H$121*EXP(-$H$121*AW28)))))*(($J$136/($J$136+100))))*$J$136*7*(400/[1]Sheet11!$H$47),IF($J$137&lt;300,((($H$119-($H$120*$H$121))/(($H$119-($H$120*$H$121*EXP(-$H$121*AW28)))))*(($J$136/($J$136+100))))*$J$136*8*(400/[1]Sheet11!$H$47),IF(AND([1]Sheet11!$H$47&lt;=50,$J$137&gt;=300),((($H$119-($H$120*$H$121))/(($H$119-($H$120*$H$121*EXP(-$H$121*AW28)))))*(($J$136/($J$136+100))*$J$136))*(400/[1]Sheet11!$H$47),IF(AND([1]Sheet11!$H$47&gt;50,[1]Sheet11!$H$47&lt;=200,$J$137&gt;=300),((($H$119-($H$120*$H$121))/(($H$119-($H$120*$H$121*EXP(-$H$121*AW28)))))*(($J$136/($J$136+100))*$J$136))*3.5*(400/[1]Sheet11!$H$47))))))+2)</f>
        <v>#VALUE!</v>
      </c>
      <c r="AY28" s="1" t="e">
        <f t="shared" si="4"/>
        <v>#VALUE!</v>
      </c>
      <c r="AZ28" t="e">
        <f>IF([1]Sheet11!$H$47=400,((((AW28/AV28)/$G$129)*$G$129*60*[1]Sheet10!$AL$629*[1]Sheet11!$H$54/(($G$129*(AX28/14.7))))*1000),((((AW28/AV28)/$G$129)*$G$129*60*[1]Sheet10!$AL$629*[1]Sheet11!$H$54/(($G$129*(AX28*(400/[1]Sheet11!$H$47)/14.7))))*1000))</f>
        <v>#VALUE!</v>
      </c>
      <c r="BA28" t="e">
        <f>AZ28/[1]Sheet11!$H$47</f>
        <v>#VALUE!</v>
      </c>
      <c r="BB28" t="e">
        <f>IF($E$224&lt;=1,ABS(1/(([1]Sheet11!$H$54/AZ28)-(([1]Sheet11!$H$54)/[1]Sheet11!$H$47))),($E$224/(([1]Sheet11!$H$54/AZ28)-(([1]Sheet11!$H$54-BD28)/[1]Sheet11!$H$47))))</f>
        <v>#VALUE!</v>
      </c>
      <c r="BC28" t="e">
        <f>(BB28/[1]Sheet11!$H$47)</f>
        <v>#VALUE!</v>
      </c>
      <c r="BD28" t="e">
        <f>IF([1]Sheet11!$H$47=400,((AX28*4389120*($D$146^(1+$J$80))/($J$81*($D$150^$J$80)))*(1.26/(3+1/$J$80))^$J$80*AW28/$AW$70),((AX28*(400/[1]Sheet11!$H$47)*4389120*($D$146^(1+$J$80)))/($J$81*($D$150^$J$80)))*(1.3/(3+1/$J$80))^$J$80*AW28/$AW$70)</f>
        <v>#VALUE!</v>
      </c>
      <c r="BE28" t="e">
        <f>IF([1]Sheet11!$H$47=400,((AX28/14.7)*([1]Sheet11!$H$47/1000)*$G$129)/((AW28/'Oil-Based Mud 1'!AV28*60)*[1]Sheet10!$AL$629*([1]Sheet11!$H$54)),((AX28*(400/[1]Sheet11!$H$47)/14.7)*([1]Sheet11!$H$47/1000)*$G$129)/((AW28/'Oil-Based Mud 1'!AV28*60)*[1]Sheet10!$AL$629*([1]Sheet11!$H$54)))+1.6</f>
        <v>#VALUE!</v>
      </c>
      <c r="BF28" t="e">
        <f t="shared" si="0"/>
        <v>#DIV/0!</v>
      </c>
      <c r="BH28">
        <v>0.47020301066062398</v>
      </c>
      <c r="BJ28">
        <f>IF(AV28=0,"0",SQRT(((2*[1]Sheet11!$G$36/2*AV28)/[1]Sheet11!$H$48*((1-([1]Sheet10!$AL$625*[1]Sheet10!$AL$627))*[1]Sheet10!$AL$631/([1]Sheet10!$AL$628*[1]Sheet10!$AL$627))*60*39.37+([1]Sheet11!$G$36/2)^2)))</f>
        <v>5.7826944592512222</v>
      </c>
      <c r="BM28" s="429">
        <f>((([1]Sheet11!$H$47/BU28)-1)*LN(BP28/([1]Sheet11!$G$36/2)))</f>
        <v>4.3555924659808509</v>
      </c>
      <c r="BO28" s="17">
        <v>2520</v>
      </c>
      <c r="BP28">
        <f>SQRT(((2*[1]Sheet11!$G$36/2*BO28)/[1]Sheet11!$H$48*((1-([1]Sheet10!$AL$625*[1]Sheet10!$AL$627))*[1]Sheet10!$AL$631/([1]Sheet10!$AL$628*[1]Sheet10!$AL$627))*60*39.37))</f>
        <v>26.917669492430839</v>
      </c>
      <c r="BQ28" s="428" t="e">
        <f t="shared" si="5"/>
        <v>#REF!</v>
      </c>
      <c r="BS28">
        <v>19.484082030915001</v>
      </c>
      <c r="BU28">
        <v>67</v>
      </c>
      <c r="BW28">
        <f>SQRT(((2*[1]Sheet11!$G$36/2*BO28)/[1]Sheet11!$H$48*((1-([1]Sheet10!$AM$625*[1]Sheet10!$AM$627))*[1]Sheet10!$AM$631/([1]Sheet10!$AM$628*[1]Sheet10!$AM$627))*60*39.37))</f>
        <v>51.380740959468476</v>
      </c>
      <c r="BX28">
        <f>SQRT(((2*[1]Sheet11!$G$36/2*BO28)/[1]Sheet11!$H$48*((1-([1]Sheet10!$AN$625*[1]Sheet10!$AN$627))*[1]Sheet10!$AN$631/([1]Sheet10!$AN$628*[1]Sheet10!$AN$627))*60*39.37))</f>
        <v>37.284975600176935</v>
      </c>
      <c r="BZ28" t="e">
        <f t="shared" ca="1" si="1"/>
        <v>#NAME?</v>
      </c>
      <c r="CA28" t="e">
        <f ca="1">(CE28*[1]Sheet10!$AL$629/(7.08*[1]Sheet11!$H$53*(CF28)))*1000*LN(([1]Sheet11!$H$52*12)/(BP28))</f>
        <v>#NAME?</v>
      </c>
      <c r="CB28" t="e">
        <f ca="1">LN(BP28/([1]Sheet11!$G$36/2))/((LN(([1]Sheet11!$H$52*12)/([1]Sheet11!$G$36/2))/CA28)-LN(([1]Sheet11!$H$52*12)/BP28)/[1]Sheet11!$H$47)</f>
        <v>#NAME?</v>
      </c>
      <c r="CC28" t="e">
        <f ca="1">((([1]Sheet11!$H$47/CB28)-1)*LN(BP28/([1]Sheet11!$G$36/2)))</f>
        <v>#NAME?</v>
      </c>
      <c r="CD28" t="e">
        <f t="shared" ca="1" si="2"/>
        <v>#NAME?</v>
      </c>
      <c r="CE28" t="e">
        <f t="shared" ca="1" si="3"/>
        <v>#NAME?</v>
      </c>
      <c r="CF28" t="e">
        <f ca="1">CE28*[1]Sheet10!$AL$629*LN([1]Sheet11!$H$52*12/([1]Sheet11!$G$36/2))/(0.00708*[1]Sheet11!$H$47*[1]Sheet11!$H$53)</f>
        <v>#NAME?</v>
      </c>
      <c r="CH28" s="17">
        <v>0</v>
      </c>
      <c r="CI28" s="17">
        <v>0</v>
      </c>
      <c r="CK28">
        <f>SQRT(((2*[1]Sheet11!$G$36/2*AV29)/[1]Sheet11!$H$48*((1-([1]Sheet10!$AL$625*[1]Sheet10!$AL$627))*[1]Sheet10!$AL$631/([1]Sheet10!$AL$628*[1]Sheet10!$AL$627))*60*39.37))</f>
        <v>5.2263559961368253</v>
      </c>
      <c r="CM28" s="430">
        <v>0</v>
      </c>
      <c r="CN28" s="431">
        <v>4599786</v>
      </c>
      <c r="CO28" s="432">
        <v>0</v>
      </c>
      <c r="CP28" s="433">
        <v>0</v>
      </c>
      <c r="CR28" t="e">
        <f>((([1]Sheet11!$H$47/CH28)-0.8)*LN(CK28/([1]Sheet11!$G$36/2)))</f>
        <v>#DIV/0!</v>
      </c>
    </row>
    <row r="29" spans="1:96" ht="18.75" x14ac:dyDescent="0.3">
      <c r="A29" s="482" t="s">
        <v>18</v>
      </c>
      <c r="B29" s="483"/>
      <c r="C29" s="484">
        <v>14585</v>
      </c>
      <c r="D29" s="485" t="s">
        <v>42</v>
      </c>
      <c r="E29" s="17"/>
      <c r="F29" s="17"/>
      <c r="G29" s="17"/>
      <c r="H29" s="17"/>
      <c r="I29" s="17"/>
      <c r="J29" s="17"/>
      <c r="K29" s="17"/>
      <c r="L29" s="9"/>
      <c r="M29" s="400">
        <v>712</v>
      </c>
      <c r="N29" s="17"/>
      <c r="O29" s="17"/>
      <c r="P29" s="17"/>
      <c r="Q29" s="17"/>
      <c r="R29" s="17"/>
      <c r="S29" s="17"/>
      <c r="T29" s="17"/>
      <c r="U29" s="17"/>
      <c r="V29" s="17"/>
      <c r="W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>
        <v>71.396944464025495</v>
      </c>
      <c r="AL29" s="9">
        <v>242.14123154427</v>
      </c>
      <c r="AM29" s="17"/>
      <c r="AN29" s="400">
        <v>275.55723842467199</v>
      </c>
      <c r="AO29" s="17">
        <v>37.980937583623998</v>
      </c>
      <c r="AP29" s="17"/>
      <c r="AQ29" s="400">
        <v>190.74676721969999</v>
      </c>
      <c r="AR29" s="17">
        <v>15.875446676418999</v>
      </c>
      <c r="AS29" s="17"/>
      <c r="AT29" s="17">
        <v>0</v>
      </c>
      <c r="AU29" s="101">
        <v>2.71064023674171</v>
      </c>
      <c r="AV29" s="17">
        <v>95</v>
      </c>
      <c r="AW29" s="102">
        <v>0</v>
      </c>
      <c r="AX29" s="1" t="e">
        <f>IF([1]Sheet11!$H$47&gt;=400,AT29,IF($J$137&lt;=200,((($H$119-($H$120*$H$121))/(($H$119-($H$120*$H$121*EXP(-$H$121*AW29)))))*(($J$136/($J$136+100))*$J$136))*7.5*(400/[1]Sheet11!$H$47),IF($J$137&lt;=250,((($H$119-($H$120*$H$121))/(($H$119-($H$120*$H$121*EXP(-$H$121*AW29)))))*(($J$136/($J$136+100))))*$J$136*7*(400/[1]Sheet11!$H$47),IF($J$137&lt;300,((($H$119-($H$120*$H$121))/(($H$119-($H$120*$H$121*EXP(-$H$121*AW29)))))*(($J$136/($J$136+100))))*$J$136*8*(400/[1]Sheet11!$H$47),IF(AND([1]Sheet11!$H$47&lt;=50,$J$137&gt;=300),((($H$119-($H$120*$H$121))/(($H$119-($H$120*$H$121*EXP(-$H$121*AW29)))))*(($J$136/($J$136+100))*$J$136))*(400/[1]Sheet11!$H$47),IF(AND([1]Sheet11!$H$47&gt;50,[1]Sheet11!$H$47&lt;=200,$J$137&gt;=300),((($H$119-($H$120*$H$121))/(($H$119-($H$120*$H$121*EXP(-$H$121*AW29)))))*(($J$136/($J$136+100))*$J$136))*3.5*(400/[1]Sheet11!$H$47))))))+2)</f>
        <v>#VALUE!</v>
      </c>
      <c r="AY29" s="1" t="e">
        <f t="shared" si="4"/>
        <v>#VALUE!</v>
      </c>
      <c r="AZ29" t="e">
        <f>IF([1]Sheet11!$H$47=400,((((AW29/AV29)/$G$129)*$G$129*60*[1]Sheet10!$AL$629*[1]Sheet11!$H$54/(($G$129*(AX29/14.7))))*1000),((((AW29/AV29)/$G$129)*$G$129*60*[1]Sheet10!$AL$629*[1]Sheet11!$H$54/(($G$129*(AX29*(400/[1]Sheet11!$H$47)/14.7))))*1000))</f>
        <v>#VALUE!</v>
      </c>
      <c r="BA29" t="e">
        <f>AZ29/[1]Sheet11!$H$47</f>
        <v>#VALUE!</v>
      </c>
      <c r="BB29" t="e">
        <f>IF($E$224&lt;=1,ABS(1/(([1]Sheet11!$H$54/AZ29)-(([1]Sheet11!$H$54)/[1]Sheet11!$H$47))),($E$224/(([1]Sheet11!$H$54/AZ29)-(([1]Sheet11!$H$54-BD29)/[1]Sheet11!$H$47))))</f>
        <v>#VALUE!</v>
      </c>
      <c r="BC29" t="e">
        <f>(BB29/[1]Sheet11!$H$47)</f>
        <v>#VALUE!</v>
      </c>
      <c r="BD29" t="e">
        <f>IF([1]Sheet11!$H$47=400,((AX29*4389120*($D$146^(1+$J$80))/($J$81*($D$150^$J$80)))*(1.26/(3+1/$J$80))^$J$80*AW29/$AW$70),((AX29*(400/[1]Sheet11!$H$47)*4389120*($D$146^(1+$J$80)))/($J$81*($D$150^$J$80)))*(1.3/(3+1/$J$80))^$J$80*AW29/$AW$70)</f>
        <v>#VALUE!</v>
      </c>
      <c r="BE29" t="e">
        <f>IF([1]Sheet11!$H$47=400,((AX29/14.7)*([1]Sheet11!$H$47/1000)*$G$129)/((AW29/'Oil-Based Mud 1'!AV29*60)*[1]Sheet10!$AL$629*([1]Sheet11!$H$54)),((AX29*(400/[1]Sheet11!$H$47)/14.7)*([1]Sheet11!$H$47/1000)*$G$129)/((AW29/'Oil-Based Mud 1'!AV29*60)*[1]Sheet10!$AL$629*([1]Sheet11!$H$54)))+1.6</f>
        <v>#VALUE!</v>
      </c>
      <c r="BF29" t="e">
        <f t="shared" si="0"/>
        <v>#DIV/0!</v>
      </c>
      <c r="BH29">
        <v>0.46825236223066902</v>
      </c>
      <c r="BJ29">
        <f>IF(AV29=0,"0",SQRT(((2*[1]Sheet11!$G$36/2*AV29)/[1]Sheet11!$H$48*((1-([1]Sheet10!$AL$625*[1]Sheet10!$AL$627))*[1]Sheet10!$AL$631/([1]Sheet10!$AL$628*[1]Sheet10!$AL$627))*60*39.37+([1]Sheet11!$G$36/2)^2)))</f>
        <v>6.0261759846817737</v>
      </c>
      <c r="BM29" s="429">
        <f>((([1]Sheet11!$H$47/BU29)-1)*LN(BP29/([1]Sheet11!$G$36/2)))</f>
        <v>4.3357012729398186</v>
      </c>
      <c r="BO29" s="17">
        <v>2470</v>
      </c>
      <c r="BP29">
        <f>SQRT(((2*[1]Sheet11!$G$36/2*BO29)/[1]Sheet11!$H$48*((1-([1]Sheet10!$AL$625*[1]Sheet10!$AL$627))*[1]Sheet10!$AL$631/([1]Sheet10!$AL$628*[1]Sheet10!$AL$627))*60*39.37))</f>
        <v>26.649291209284332</v>
      </c>
      <c r="BQ29" s="428" t="e">
        <f t="shared" si="5"/>
        <v>#REF!</v>
      </c>
      <c r="BS29">
        <v>19.8142088500122</v>
      </c>
      <c r="BU29">
        <v>67</v>
      </c>
      <c r="BW29">
        <f>SQRT(((2*[1]Sheet11!$G$36/2*BO29)/[1]Sheet11!$H$48*((1-([1]Sheet10!$AM$625*[1]Sheet10!$AM$627))*[1]Sheet10!$AM$631/([1]Sheet10!$AM$628*[1]Sheet10!$AM$627))*60*39.37))</f>
        <v>50.868457566978826</v>
      </c>
      <c r="BX29">
        <f>SQRT(((2*[1]Sheet11!$G$36/2*BO29)/[1]Sheet11!$H$48*((1-([1]Sheet10!$AN$625*[1]Sheet10!$AN$627))*[1]Sheet10!$AN$631/([1]Sheet10!$AN$628*[1]Sheet10!$AN$627))*60*39.37))</f>
        <v>36.913231763231884</v>
      </c>
      <c r="BZ29" t="e">
        <f t="shared" ca="1" si="1"/>
        <v>#NAME?</v>
      </c>
      <c r="CA29" t="e">
        <f ca="1">(CE29*[1]Sheet10!$AL$629/(7.08*[1]Sheet11!$H$53*(CF29)))*1000*LN(([1]Sheet11!$H$52*12)/(BP29))</f>
        <v>#NAME?</v>
      </c>
      <c r="CB29" t="e">
        <f ca="1">LN(BP29/([1]Sheet11!$G$36/2))/((LN(([1]Sheet11!$H$52*12)/([1]Sheet11!$G$36/2))/CA29)-LN(([1]Sheet11!$H$52*12)/BP29)/[1]Sheet11!$H$47)</f>
        <v>#NAME?</v>
      </c>
      <c r="CC29" t="e">
        <f ca="1">((([1]Sheet11!$H$47/CB29)-1)*LN(BP29/([1]Sheet11!$G$36/2)))</f>
        <v>#NAME?</v>
      </c>
      <c r="CD29" t="e">
        <f t="shared" ca="1" si="2"/>
        <v>#NAME?</v>
      </c>
      <c r="CE29" t="e">
        <f t="shared" ca="1" si="3"/>
        <v>#NAME?</v>
      </c>
      <c r="CF29" t="e">
        <f ca="1">CE29*[1]Sheet10!$AL$629*LN([1]Sheet11!$H$52*12/([1]Sheet11!$G$36/2))/(0.00708*[1]Sheet11!$H$47*[1]Sheet11!$H$53)</f>
        <v>#NAME?</v>
      </c>
      <c r="CH29" s="17">
        <v>0</v>
      </c>
      <c r="CI29" s="17">
        <v>0</v>
      </c>
      <c r="CK29">
        <f>SQRT(((2*[1]Sheet11!$G$36/2*AV30)/[1]Sheet11!$H$48*((1-([1]Sheet10!$AL$625*[1]Sheet10!$AL$627))*[1]Sheet10!$AL$631/([1]Sheet10!$AL$628*[1]Sheet10!$AL$627))*60*39.37))</f>
        <v>5.4945462767780846</v>
      </c>
      <c r="CM29" s="430">
        <v>0</v>
      </c>
      <c r="CN29" s="431">
        <v>4599786</v>
      </c>
      <c r="CO29" s="432">
        <v>0</v>
      </c>
      <c r="CP29" s="433">
        <v>0</v>
      </c>
      <c r="CR29" t="e">
        <f>((([1]Sheet11!$H$47/CH29)-0.8)*LN(CK29/([1]Sheet11!$G$36/2)))</f>
        <v>#DIV/0!</v>
      </c>
    </row>
    <row r="30" spans="1:96" ht="18.75" x14ac:dyDescent="0.3">
      <c r="A30" s="17"/>
      <c r="B30" s="17"/>
      <c r="C30" s="17"/>
      <c r="D30" s="17"/>
      <c r="E30" s="17"/>
      <c r="F30" s="490" t="s">
        <v>94</v>
      </c>
      <c r="G30" s="40"/>
      <c r="H30" s="40"/>
      <c r="I30" s="41"/>
      <c r="J30" s="17"/>
      <c r="K30" s="17"/>
      <c r="L30" s="9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>
        <v>69.259101532367396</v>
      </c>
      <c r="AL30" s="9">
        <v>244.27907447592801</v>
      </c>
      <c r="AM30" s="17"/>
      <c r="AN30" s="400">
        <v>277.36710280738799</v>
      </c>
      <c r="AO30" s="17">
        <v>36.171073200907699</v>
      </c>
      <c r="AP30" s="17"/>
      <c r="AQ30" s="400">
        <v>191.51229521606299</v>
      </c>
      <c r="AR30" s="17">
        <v>15.109918680055401</v>
      </c>
      <c r="AS30" s="17"/>
      <c r="AT30" s="17">
        <v>0</v>
      </c>
      <c r="AU30" s="101">
        <v>2.8656454150476298</v>
      </c>
      <c r="AV30" s="17">
        <v>105</v>
      </c>
      <c r="AW30" s="102">
        <v>0</v>
      </c>
      <c r="AX30" s="1" t="e">
        <f>IF([1]Sheet11!$H$47&gt;=400,AT30,IF($J$137&lt;=200,((($H$119-($H$120*$H$121))/(($H$119-($H$120*$H$121*EXP(-$H$121*AW30)))))*(($J$136/($J$136+100))*$J$136))*7.5*(400/[1]Sheet11!$H$47),IF($J$137&lt;=250,((($H$119-($H$120*$H$121))/(($H$119-($H$120*$H$121*EXP(-$H$121*AW30)))))*(($J$136/($J$136+100))))*$J$136*7*(400/[1]Sheet11!$H$47),IF($J$137&lt;300,((($H$119-($H$120*$H$121))/(($H$119-($H$120*$H$121*EXP(-$H$121*AW30)))))*(($J$136/($J$136+100))))*$J$136*8*(400/[1]Sheet11!$H$47),IF(AND([1]Sheet11!$H$47&lt;=50,$J$137&gt;=300),((($H$119-($H$120*$H$121))/(($H$119-($H$120*$H$121*EXP(-$H$121*AW30)))))*(($J$136/($J$136+100))*$J$136))*(400/[1]Sheet11!$H$47),IF(AND([1]Sheet11!$H$47&gt;50,[1]Sheet11!$H$47&lt;=200,$J$137&gt;=300),((($H$119-($H$120*$H$121))/(($H$119-($H$120*$H$121*EXP(-$H$121*AW30)))))*(($J$136/($J$136+100))*$J$136))*3.5*(400/[1]Sheet11!$H$47))))))+2)</f>
        <v>#VALUE!</v>
      </c>
      <c r="AY30" s="1" t="e">
        <f t="shared" si="4"/>
        <v>#VALUE!</v>
      </c>
      <c r="AZ30" t="e">
        <f>IF([1]Sheet11!$H$47=400,((((AW30/AV30)/$G$129)*$G$129*60*[1]Sheet10!$AL$629*[1]Sheet11!$H$54/(($G$129*(AX30/14.7))))*1000),((((AW30/AV30)/$G$129)*$G$129*60*[1]Sheet10!$AL$629*[1]Sheet11!$H$54/(($G$129*(AX30*(400/[1]Sheet11!$H$47)/14.7))))*1000))</f>
        <v>#VALUE!</v>
      </c>
      <c r="BA30" t="e">
        <f>AZ30/[1]Sheet11!$H$47</f>
        <v>#VALUE!</v>
      </c>
      <c r="BB30" t="e">
        <f>IF($E$224&lt;=1,ABS(1/(([1]Sheet11!$H$54/AZ30)-(([1]Sheet11!$H$54)/[1]Sheet11!$H$47))),($E$224/(([1]Sheet11!$H$54/AZ30)-(([1]Sheet11!$H$54-BD30)/[1]Sheet11!$H$47))))</f>
        <v>#VALUE!</v>
      </c>
      <c r="BC30" t="e">
        <f>(BB30/[1]Sheet11!$H$47)</f>
        <v>#VALUE!</v>
      </c>
      <c r="BD30" t="e">
        <f>IF([1]Sheet11!$H$47=400,((AX30*4389120*($D$146^(1+$J$80))/($J$81*($D$150^$J$80)))*(1.26/(3+1/$J$80))^$J$80*AW30/$AW$70),((AX30*(400/[1]Sheet11!$H$47)*4389120*($D$146^(1+$J$80)))/($J$81*($D$150^$J$80)))*(1.3/(3+1/$J$80))^$J$80*AW30/$AW$70)</f>
        <v>#VALUE!</v>
      </c>
      <c r="BE30" t="e">
        <f>IF([1]Sheet11!$H$47=400,((AX30/14.7)*([1]Sheet11!$H$47/1000)*$G$129)/((AW30/'Oil-Based Mud 1'!AV30*60)*[1]Sheet10!$AL$629*([1]Sheet11!$H$54)),((AX30*(400/[1]Sheet11!$H$47)/14.7)*([1]Sheet11!$H$47/1000)*$G$129)/((AW30/'Oil-Based Mud 1'!AV30*60)*[1]Sheet10!$AL$629*([1]Sheet11!$H$54)))+1.6</f>
        <v>#VALUE!</v>
      </c>
      <c r="BF30" t="e">
        <f t="shared" si="0"/>
        <v>#DIV/0!</v>
      </c>
      <c r="BH30">
        <v>0.466149237281754</v>
      </c>
      <c r="BJ30">
        <f>IF(AV30=0,"0",SQRT(((2*[1]Sheet11!$G$36/2*AV30)/[1]Sheet11!$H$48*((1-([1]Sheet10!$AL$625*[1]Sheet10!$AL$627))*[1]Sheet10!$AL$631/([1]Sheet10!$AL$628*[1]Sheet10!$AL$627))*60*39.37+([1]Sheet11!$G$36/2)^2)))</f>
        <v>6.2601947883157694</v>
      </c>
      <c r="BM30" s="429">
        <f>((([1]Sheet11!$H$47/BU30)-1)*LN(BP30/([1]Sheet11!$G$36/2)))</f>
        <v>4.315403278964582</v>
      </c>
      <c r="BO30" s="17">
        <v>2420</v>
      </c>
      <c r="BP30">
        <f>SQRT(((2*[1]Sheet11!$G$36/2*BO30)/[1]Sheet11!$H$48*((1-([1]Sheet10!$AL$625*[1]Sheet10!$AL$627))*[1]Sheet10!$AL$631/([1]Sheet10!$AL$628*[1]Sheet10!$AL$627))*60*39.37))</f>
        <v>26.378182519095898</v>
      </c>
      <c r="BQ30" s="428" t="e">
        <f t="shared" si="5"/>
        <v>#REF!</v>
      </c>
      <c r="BS30">
        <v>20.164628905545399</v>
      </c>
      <c r="BU30">
        <v>67</v>
      </c>
      <c r="BW30">
        <f>SQRT(((2*[1]Sheet11!$G$36/2*BO30)/[1]Sheet11!$H$48*((1-([1]Sheet10!$AM$625*[1]Sheet10!$AM$627))*[1]Sheet10!$AM$631/([1]Sheet10!$AM$628*[1]Sheet10!$AM$627))*60*39.37))</f>
        <v>50.350962343763101</v>
      </c>
      <c r="BX30">
        <f>SQRT(((2*[1]Sheet11!$G$36/2*BO30)/[1]Sheet11!$H$48*((1-([1]Sheet10!$AN$625*[1]Sheet10!$AN$627))*[1]Sheet10!$AN$631/([1]Sheet10!$AN$628*[1]Sheet10!$AN$627))*60*39.37))</f>
        <v>36.53770590645167</v>
      </c>
      <c r="BZ30" t="e">
        <f t="shared" ca="1" si="1"/>
        <v>#NAME?</v>
      </c>
      <c r="CA30" t="e">
        <f ca="1">(CE30*[1]Sheet10!$AL$629/(7.08*[1]Sheet11!$H$53*(CF30)))*1000*LN(([1]Sheet11!$H$52*12)/(BP30))</f>
        <v>#NAME?</v>
      </c>
      <c r="CB30" t="e">
        <f ca="1">LN(BP30/([1]Sheet11!$G$36/2))/((LN(([1]Sheet11!$H$52*12)/([1]Sheet11!$G$36/2))/CA30)-LN(([1]Sheet11!$H$52*12)/BP30)/[1]Sheet11!$H$47)</f>
        <v>#NAME?</v>
      </c>
      <c r="CC30" t="e">
        <f ca="1">((([1]Sheet11!$H$47/CB30)-1)*LN(BP30/([1]Sheet11!$G$36/2)))</f>
        <v>#NAME?</v>
      </c>
      <c r="CD30" t="e">
        <f t="shared" ca="1" si="2"/>
        <v>#NAME?</v>
      </c>
      <c r="CE30" t="e">
        <f t="shared" ca="1" si="3"/>
        <v>#NAME?</v>
      </c>
      <c r="CF30" t="e">
        <f ca="1">CE30*[1]Sheet10!$AL$629*LN([1]Sheet11!$H$52*12/([1]Sheet11!$G$36/2))/(0.00708*[1]Sheet11!$H$47*[1]Sheet11!$H$53)</f>
        <v>#NAME?</v>
      </c>
      <c r="CH30" s="17">
        <v>0</v>
      </c>
      <c r="CI30" s="17">
        <v>0</v>
      </c>
      <c r="CK30">
        <f>SQRT(((2*[1]Sheet11!$G$36/2*AV31)/[1]Sheet11!$H$48*((1-([1]Sheet10!$AL$625*[1]Sheet10!$AL$627))*[1]Sheet10!$AL$631/([1]Sheet10!$AL$628*[1]Sheet10!$AL$627))*60*39.37))</f>
        <v>5.7502417842171187</v>
      </c>
      <c r="CM30" s="430">
        <v>0</v>
      </c>
      <c r="CN30" s="431">
        <v>4599786</v>
      </c>
      <c r="CO30" s="432">
        <v>0</v>
      </c>
      <c r="CP30" s="433">
        <v>0</v>
      </c>
      <c r="CR30" t="e">
        <f>((([1]Sheet11!$H$47/CH30)-0.8)*LN(CK30/([1]Sheet11!$G$36/2)))</f>
        <v>#DIV/0!</v>
      </c>
    </row>
    <row r="31" spans="1:96" ht="18.75" x14ac:dyDescent="0.3">
      <c r="A31" s="491" t="s">
        <v>33</v>
      </c>
      <c r="B31" s="287"/>
      <c r="C31" s="492"/>
      <c r="D31" s="493"/>
      <c r="E31" s="17"/>
      <c r="F31" s="113" t="s">
        <v>95</v>
      </c>
      <c r="G31" s="51"/>
      <c r="H31" s="494" t="s">
        <v>96</v>
      </c>
      <c r="I31" s="495"/>
      <c r="J31" s="17"/>
      <c r="K31" s="17"/>
      <c r="L31" s="496" t="s">
        <v>233</v>
      </c>
      <c r="M31" s="497"/>
      <c r="N31" s="498"/>
      <c r="O31" s="458"/>
      <c r="P31" s="17"/>
      <c r="Q31" s="17"/>
      <c r="R31" s="17"/>
      <c r="S31" s="17"/>
      <c r="T31" s="17"/>
      <c r="U31" s="17"/>
      <c r="V31" s="17"/>
      <c r="W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>
        <v>67.403010544056201</v>
      </c>
      <c r="AL31" s="9">
        <v>246.13516546424</v>
      </c>
      <c r="AM31" s="17"/>
      <c r="AN31" s="400">
        <v>278.94067481723999</v>
      </c>
      <c r="AO31" s="17">
        <v>34.597501191055798</v>
      </c>
      <c r="AP31" s="17"/>
      <c r="AQ31" s="400">
        <v>192.17678828273301</v>
      </c>
      <c r="AR31" s="17">
        <v>14.4454256133853</v>
      </c>
      <c r="AS31" s="17"/>
      <c r="AT31" s="17">
        <v>0</v>
      </c>
      <c r="AU31" s="101">
        <v>3.01351239203948</v>
      </c>
      <c r="AV31" s="17">
        <v>115</v>
      </c>
      <c r="AW31" s="102">
        <v>0</v>
      </c>
      <c r="AX31" s="1" t="e">
        <f>IF([1]Sheet11!$H$47&gt;=400,AT31,IF($J$137&lt;=200,((($H$119-($H$120*$H$121))/(($H$119-($H$120*$H$121*EXP(-$H$121*AW31)))))*(($J$136/($J$136+100))*$J$136))*7.5*(400/[1]Sheet11!$H$47),IF($J$137&lt;=250,((($H$119-($H$120*$H$121))/(($H$119-($H$120*$H$121*EXP(-$H$121*AW31)))))*(($J$136/($J$136+100))))*$J$136*7*(400/[1]Sheet11!$H$47),IF($J$137&lt;300,((($H$119-($H$120*$H$121))/(($H$119-($H$120*$H$121*EXP(-$H$121*AW31)))))*(($J$136/($J$136+100))))*$J$136*8*(400/[1]Sheet11!$H$47),IF(AND([1]Sheet11!$H$47&lt;=50,$J$137&gt;=300),((($H$119-($H$120*$H$121))/(($H$119-($H$120*$H$121*EXP(-$H$121*AW31)))))*(($J$136/($J$136+100))*$J$136))*(400/[1]Sheet11!$H$47),IF(AND([1]Sheet11!$H$47&gt;50,[1]Sheet11!$H$47&lt;=200,$J$137&gt;=300),((($H$119-($H$120*$H$121))/(($H$119-($H$120*$H$121*EXP(-$H$121*AW31)))))*(($J$136/($J$136+100))*$J$136))*3.5*(400/[1]Sheet11!$H$47))))))+2)</f>
        <v>#VALUE!</v>
      </c>
      <c r="AY31" s="1" t="e">
        <f t="shared" si="4"/>
        <v>#VALUE!</v>
      </c>
      <c r="AZ31" t="e">
        <f>IF([1]Sheet11!$H$47=400,((((AW31/AV31)/$G$129)*$G$129*60*[1]Sheet10!$AL$629*[1]Sheet11!$H$54/(($G$129*(AX31/14.7))))*1000),((((AW31/AV31)/$G$129)*$G$129*60*[1]Sheet10!$AL$629*[1]Sheet11!$H$54/(($G$129*(AX31*(400/[1]Sheet11!$H$47)/14.7))))*1000))</f>
        <v>#VALUE!</v>
      </c>
      <c r="BA31" t="e">
        <f>AZ31/[1]Sheet11!$H$47</f>
        <v>#VALUE!</v>
      </c>
      <c r="BB31" t="e">
        <f>IF($E$224&lt;=1,ABS(1/(([1]Sheet11!$H$54/AZ31)-(([1]Sheet11!$H$54)/[1]Sheet11!$H$47))),($E$224/(([1]Sheet11!$H$54/AZ31)-(([1]Sheet11!$H$54-BD31)/[1]Sheet11!$H$47))))</f>
        <v>#VALUE!</v>
      </c>
      <c r="BC31" t="e">
        <f>(BB31/[1]Sheet11!$H$47)</f>
        <v>#VALUE!</v>
      </c>
      <c r="BD31" t="e">
        <f>IF([1]Sheet11!$H$47=400,((AX31*4389120*($D$146^(1+$J$80))/($J$81*($D$150^$J$80)))*(1.26/(3+1/$J$80))^$J$80*AW31/$AW$70),((AX31*(400/[1]Sheet11!$H$47)*4389120*($D$146^(1+$J$80)))/($J$81*($D$150^$J$80)))*(1.3/(3+1/$J$80))^$J$80*AW31/$AW$70)</f>
        <v>#VALUE!</v>
      </c>
      <c r="BE31" t="e">
        <f>IF([1]Sheet11!$H$47=400,((AX31/14.7)*([1]Sheet11!$H$47/1000)*$G$129)/((AW31/'Oil-Based Mud 1'!AV31*60)*[1]Sheet10!$AL$629*([1]Sheet11!$H$54)),((AX31*(400/[1]Sheet11!$H$47)/14.7)*([1]Sheet11!$H$47/1000)*$G$129)/((AW31/'Oil-Based Mud 1'!AV31*60)*[1]Sheet10!$AL$629*([1]Sheet11!$H$54)))+1.6</f>
        <v>#VALUE!</v>
      </c>
      <c r="BF31" t="e">
        <f t="shared" si="0"/>
        <v>#DIV/0!</v>
      </c>
      <c r="BH31">
        <v>0.46395548378735102</v>
      </c>
      <c r="BJ31">
        <f>IF(AV31=0,"0",SQRT(((2*[1]Sheet11!$G$36/2*AV31)/[1]Sheet11!$H$48*((1-([1]Sheet10!$AL$625*[1]Sheet10!$AL$627))*[1]Sheet10!$AL$631/([1]Sheet10!$AL$628*[1]Sheet10!$AL$627))*60*39.37+([1]Sheet11!$G$36/2)^2)))</f>
        <v>6.4857752487236615</v>
      </c>
      <c r="BM31" s="429">
        <f>((([1]Sheet11!$H$47/BU31)-1)*LN(BP31/([1]Sheet11!$G$36/2)))</f>
        <v>4.2946814968163221</v>
      </c>
      <c r="BO31" s="17">
        <v>2370</v>
      </c>
      <c r="BP31">
        <f>SQRT(((2*[1]Sheet11!$G$36/2*BO31)/[1]Sheet11!$H$48*((1-([1]Sheet10!$AL$625*[1]Sheet10!$AL$627))*[1]Sheet10!$AL$631/([1]Sheet10!$AL$628*[1]Sheet10!$AL$627))*60*39.37))</f>
        <v>26.104258351162429</v>
      </c>
      <c r="BQ31" s="428" t="e">
        <f t="shared" si="5"/>
        <v>#REF!</v>
      </c>
      <c r="BS31">
        <v>20.537881184628201</v>
      </c>
      <c r="BU31">
        <v>67</v>
      </c>
      <c r="BW31">
        <f>SQRT(((2*[1]Sheet11!$G$36/2*BO31)/[1]Sheet11!$H$48*((1-([1]Sheet10!$AM$625*[1]Sheet10!$AM$627))*[1]Sheet10!$AM$631/([1]Sheet10!$AM$628*[1]Sheet10!$AM$627))*60*39.37))</f>
        <v>49.828092905935833</v>
      </c>
      <c r="BX31">
        <f>SQRT(((2*[1]Sheet11!$G$36/2*BO31)/[1]Sheet11!$H$48*((1-([1]Sheet10!$AN$625*[1]Sheet10!$AN$627))*[1]Sheet10!$AN$631/([1]Sheet10!$AN$628*[1]Sheet10!$AN$627))*60*39.37))</f>
        <v>36.158280194260279</v>
      </c>
      <c r="BZ31" t="e">
        <f t="shared" ca="1" si="1"/>
        <v>#NAME?</v>
      </c>
      <c r="CA31" t="e">
        <f ca="1">(CE31*[1]Sheet10!$AL$629/(7.08*[1]Sheet11!$H$53*(CF31)))*1000*LN(([1]Sheet11!$H$52*12)/(BP31))</f>
        <v>#NAME?</v>
      </c>
      <c r="CB31" t="e">
        <f ca="1">LN(BP31/([1]Sheet11!$G$36/2))/((LN(([1]Sheet11!$H$52*12)/([1]Sheet11!$G$36/2))/CA31)-LN(([1]Sheet11!$H$52*12)/BP31)/[1]Sheet11!$H$47)</f>
        <v>#NAME?</v>
      </c>
      <c r="CC31" t="e">
        <f ca="1">((([1]Sheet11!$H$47/CB31)-1)*LN(BP31/([1]Sheet11!$G$36/2)))</f>
        <v>#NAME?</v>
      </c>
      <c r="CD31" t="e">
        <f t="shared" ca="1" si="2"/>
        <v>#NAME?</v>
      </c>
      <c r="CE31" t="e">
        <f t="shared" ca="1" si="3"/>
        <v>#NAME?</v>
      </c>
      <c r="CF31" t="e">
        <f ca="1">CE31*[1]Sheet10!$AL$629*LN([1]Sheet11!$H$52*12/([1]Sheet11!$G$36/2))/(0.00708*[1]Sheet11!$H$47*[1]Sheet11!$H$53)</f>
        <v>#NAME?</v>
      </c>
      <c r="CH31" s="17">
        <v>0</v>
      </c>
      <c r="CI31" s="17">
        <v>0</v>
      </c>
      <c r="CK31">
        <f>SQRT(((2*[1]Sheet11!$G$36/2*AV32)/[1]Sheet11!$H$48*((1-([1]Sheet10!$AL$625*[1]Sheet10!$AL$627))*[1]Sheet10!$AL$631/([1]Sheet10!$AL$628*[1]Sheet10!$AL$627))*60*39.37))</f>
        <v>5.995041481612704</v>
      </c>
      <c r="CM31" s="430">
        <v>0</v>
      </c>
      <c r="CN31" s="431">
        <v>4599786</v>
      </c>
      <c r="CO31" s="432">
        <v>0</v>
      </c>
      <c r="CP31" s="433">
        <v>0</v>
      </c>
      <c r="CR31" t="e">
        <f>((([1]Sheet11!$H$47/CH31)-0.8)*LN(CK31/([1]Sheet11!$G$36/2)))</f>
        <v>#DIV/0!</v>
      </c>
    </row>
    <row r="32" spans="1:96" ht="18.75" x14ac:dyDescent="0.3">
      <c r="A32" s="77" t="s">
        <v>36</v>
      </c>
      <c r="B32" s="479"/>
      <c r="C32" s="480">
        <v>11230</v>
      </c>
      <c r="D32" s="499" t="s">
        <v>42</v>
      </c>
      <c r="E32" s="17"/>
      <c r="F32" s="299" t="s">
        <v>97</v>
      </c>
      <c r="G32" s="300"/>
      <c r="H32" s="500">
        <v>200</v>
      </c>
      <c r="I32" s="501" t="s">
        <v>175</v>
      </c>
      <c r="J32" s="17"/>
      <c r="K32" s="17"/>
      <c r="L32" s="502" t="s">
        <v>112</v>
      </c>
      <c r="M32" s="503" t="s">
        <v>113</v>
      </c>
      <c r="N32" s="504" t="s">
        <v>234</v>
      </c>
      <c r="O32" s="505" t="s">
        <v>114</v>
      </c>
      <c r="P32" s="243"/>
      <c r="Q32" s="17"/>
      <c r="R32" s="17"/>
      <c r="S32" s="17"/>
      <c r="T32" s="17"/>
      <c r="U32" s="17"/>
      <c r="V32" s="17"/>
      <c r="W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>
        <v>65.772827570124804</v>
      </c>
      <c r="AL32" s="9">
        <v>247.765348438171</v>
      </c>
      <c r="AM32" s="17"/>
      <c r="AN32" s="400">
        <v>280.32526659310997</v>
      </c>
      <c r="AO32" s="17">
        <v>33.212909415185898</v>
      </c>
      <c r="AP32" s="17"/>
      <c r="AQ32" s="400">
        <v>192.76067907337901</v>
      </c>
      <c r="AR32" s="17">
        <v>13.8615348227395</v>
      </c>
      <c r="AS32" s="17"/>
      <c r="AT32" s="17">
        <v>0</v>
      </c>
      <c r="AU32" s="101">
        <v>3.1551449740198101</v>
      </c>
      <c r="AV32" s="17">
        <v>125</v>
      </c>
      <c r="AW32" s="102">
        <v>0</v>
      </c>
      <c r="AX32" s="1" t="e">
        <f>IF([1]Sheet11!$H$47&gt;=400,AT32,IF($J$137&lt;=200,((($H$119-($H$120*$H$121))/(($H$119-($H$120*$H$121*EXP(-$H$121*AW32)))))*(($J$136/($J$136+100))*$J$136))*7.5*(400/[1]Sheet11!$H$47),IF($J$137&lt;=250,((($H$119-($H$120*$H$121))/(($H$119-($H$120*$H$121*EXP(-$H$121*AW32)))))*(($J$136/($J$136+100))))*$J$136*7*(400/[1]Sheet11!$H$47),IF($J$137&lt;300,((($H$119-($H$120*$H$121))/(($H$119-($H$120*$H$121*EXP(-$H$121*AW32)))))*(($J$136/($J$136+100))))*$J$136*8*(400/[1]Sheet11!$H$47),IF(AND([1]Sheet11!$H$47&lt;=50,$J$137&gt;=300),((($H$119-($H$120*$H$121))/(($H$119-($H$120*$H$121*EXP(-$H$121*AW32)))))*(($J$136/($J$136+100))*$J$136))*(400/[1]Sheet11!$H$47),IF(AND([1]Sheet11!$H$47&gt;50,[1]Sheet11!$H$47&lt;=200,$J$137&gt;=300),((($H$119-($H$120*$H$121))/(($H$119-($H$120*$H$121*EXP(-$H$121*AW32)))))*(($J$136/($J$136+100))*$J$136))*3.5*(400/[1]Sheet11!$H$47))))))+2)</f>
        <v>#VALUE!</v>
      </c>
      <c r="AY32" s="1" t="e">
        <f t="shared" si="4"/>
        <v>#VALUE!</v>
      </c>
      <c r="AZ32" t="e">
        <f>IF([1]Sheet11!$H$47=400,((((AW32/AV32)/$G$129)*$G$129*60*[1]Sheet10!$AL$629*[1]Sheet11!$H$54/(($G$129*(AX32/14.7))))*1000),((((AW32/AV32)/$G$129)*$G$129*60*[1]Sheet10!$AL$629*[1]Sheet11!$H$54/(($G$129*(AX32*(400/[1]Sheet11!$H$47)/14.7))))*1000))</f>
        <v>#VALUE!</v>
      </c>
      <c r="BA32" t="e">
        <f>AZ32/[1]Sheet11!$H$47</f>
        <v>#VALUE!</v>
      </c>
      <c r="BB32" t="e">
        <f>IF($E$224&lt;=1,ABS(1/(([1]Sheet11!$H$54/AZ32)-(([1]Sheet11!$H$54)/[1]Sheet11!$H$47))),($E$224/(([1]Sheet11!$H$54/AZ32)-(([1]Sheet11!$H$54-BD32)/[1]Sheet11!$H$47))))</f>
        <v>#VALUE!</v>
      </c>
      <c r="BC32" t="e">
        <f>(BB32/[1]Sheet11!$H$47)</f>
        <v>#VALUE!</v>
      </c>
      <c r="BD32" t="e">
        <f>IF([1]Sheet11!$H$47=400,((AX32*4389120*($D$146^(1+$J$80))/($J$81*($D$150^$J$80)))*(1.26/(3+1/$J$80))^$J$80*AW32/$AW$70),((AX32*(400/[1]Sheet11!$H$47)*4389120*($D$146^(1+$J$80)))/($J$81*($D$150^$J$80)))*(1.3/(3+1/$J$80))^$J$80*AW32/$AW$70)</f>
        <v>#VALUE!</v>
      </c>
      <c r="BE32" t="e">
        <f>IF([1]Sheet11!$H$47=400,((AX32/14.7)*([1]Sheet11!$H$47/1000)*$G$129)/((AW32/'Oil-Based Mud 1'!AV32*60)*[1]Sheet10!$AL$629*([1]Sheet11!$H$54)),((AX32*(400/[1]Sheet11!$H$47)/14.7)*([1]Sheet11!$H$47/1000)*$G$129)/((AW32/'Oil-Based Mud 1'!AV32*60)*[1]Sheet10!$AL$629*([1]Sheet11!$H$54)))+1.6</f>
        <v>#VALUE!</v>
      </c>
      <c r="BF32" t="e">
        <f t="shared" si="0"/>
        <v>#DIV/0!</v>
      </c>
      <c r="BH32">
        <v>0.46171266475592398</v>
      </c>
      <c r="BJ32">
        <f>IF(AV32=0,"0",SQRT(((2*[1]Sheet11!$G$36/2*AV32)/[1]Sheet11!$H$48*((1-([1]Sheet10!$AL$625*[1]Sheet10!$AL$627))*[1]Sheet10!$AL$631/([1]Sheet10!$AL$628*[1]Sheet10!$AL$627))*60*39.37+([1]Sheet11!$G$36/2)^2)))</f>
        <v>6.7037692655891012</v>
      </c>
      <c r="BM32" s="429">
        <f>((([1]Sheet11!$H$47/BU32)-1)*LN(BP32/([1]Sheet11!$G$36/2)))</f>
        <v>4.2735178524927901</v>
      </c>
      <c r="BO32" s="17">
        <v>2320</v>
      </c>
      <c r="BP32">
        <f>SQRT(((2*[1]Sheet11!$G$36/2*BO32)/[1]Sheet11!$H$48*((1-([1]Sheet10!$AL$625*[1]Sheet10!$AL$627))*[1]Sheet10!$AL$631/([1]Sheet10!$AL$628*[1]Sheet10!$AL$627))*60*39.37))</f>
        <v>25.827429123273781</v>
      </c>
      <c r="BQ32" s="428" t="e">
        <f t="shared" si="5"/>
        <v>#REF!</v>
      </c>
      <c r="BS32">
        <v>20.937019222785199</v>
      </c>
      <c r="BU32">
        <v>67</v>
      </c>
      <c r="BW32">
        <f>SQRT(((2*[1]Sheet11!$G$36/2*BO32)/[1]Sheet11!$H$48*((1-([1]Sheet10!$AM$625*[1]Sheet10!$AM$627))*[1]Sheet10!$AM$631/([1]Sheet10!$AM$628*[1]Sheet10!$AM$627))*60*39.37))</f>
        <v>49.299678257997762</v>
      </c>
      <c r="BX32">
        <f>SQRT(((2*[1]Sheet11!$G$36/2*BO32)/[1]Sheet11!$H$48*((1-([1]Sheet10!$AN$625*[1]Sheet10!$AN$627))*[1]Sheet10!$AN$631/([1]Sheet10!$AN$628*[1]Sheet10!$AN$627))*60*39.37))</f>
        <v>35.774830541973465</v>
      </c>
      <c r="BZ32" t="e">
        <f t="shared" ca="1" si="1"/>
        <v>#NAME?</v>
      </c>
      <c r="CA32" t="e">
        <f ca="1">(CE32*[1]Sheet10!$AL$629/(7.08*[1]Sheet11!$H$53*(CF32)))*1000*LN(([1]Sheet11!$H$52*12)/(BP32))</f>
        <v>#NAME?</v>
      </c>
      <c r="CB32" t="e">
        <f ca="1">LN(BP32/([1]Sheet11!$G$36/2))/((LN(([1]Sheet11!$H$52*12)/([1]Sheet11!$G$36/2))/CA32)-LN(([1]Sheet11!$H$52*12)/BP32)/[1]Sheet11!$H$47)</f>
        <v>#NAME?</v>
      </c>
      <c r="CC32" t="e">
        <f ca="1">((([1]Sheet11!$H$47/CB32)-1)*LN(BP32/([1]Sheet11!$G$36/2)))</f>
        <v>#NAME?</v>
      </c>
      <c r="CD32" t="e">
        <f t="shared" ca="1" si="2"/>
        <v>#NAME?</v>
      </c>
      <c r="CE32" t="e">
        <f t="shared" ca="1" si="3"/>
        <v>#NAME?</v>
      </c>
      <c r="CF32" t="e">
        <f ca="1">CE32*[1]Sheet10!$AL$629*LN([1]Sheet11!$H$52*12/([1]Sheet11!$G$36/2))/(0.00708*[1]Sheet11!$H$47*[1]Sheet11!$H$53)</f>
        <v>#NAME?</v>
      </c>
      <c r="CH32" s="17">
        <v>0</v>
      </c>
      <c r="CI32" s="17">
        <v>0</v>
      </c>
      <c r="CK32">
        <f>SQRT(((2*[1]Sheet11!$G$36/2*AV33)/[1]Sheet11!$H$48*((1-([1]Sheet10!$AL$625*[1]Sheet10!$AL$627))*[1]Sheet10!$AL$631/([1]Sheet10!$AL$628*[1]Sheet10!$AL$627))*60*39.37))</f>
        <v>6.2302298637817213</v>
      </c>
      <c r="CM32" s="430">
        <v>0</v>
      </c>
      <c r="CN32" s="431">
        <v>4599786</v>
      </c>
      <c r="CO32" s="432">
        <v>0</v>
      </c>
      <c r="CP32" s="433">
        <v>0</v>
      </c>
      <c r="CR32" t="e">
        <f>((([1]Sheet11!$H$47/CH32)-0.8)*LN(CK32/([1]Sheet11!$G$36/2)))</f>
        <v>#DIV/0!</v>
      </c>
    </row>
    <row r="33" spans="1:96" ht="18.75" x14ac:dyDescent="0.3">
      <c r="A33" s="84" t="s">
        <v>47</v>
      </c>
      <c r="B33" s="506"/>
      <c r="C33" s="507">
        <v>8.85</v>
      </c>
      <c r="D33" s="508" t="s">
        <v>229</v>
      </c>
      <c r="E33" s="17">
        <v>0</v>
      </c>
      <c r="F33" s="299" t="s">
        <v>98</v>
      </c>
      <c r="G33" s="300"/>
      <c r="H33" s="509">
        <v>0.14000000000000001</v>
      </c>
      <c r="I33" s="501" t="s">
        <v>46</v>
      </c>
      <c r="J33" s="17"/>
      <c r="K33" s="17"/>
      <c r="L33" s="510">
        <v>1</v>
      </c>
      <c r="M33" s="511" t="s">
        <v>115</v>
      </c>
      <c r="N33" s="511">
        <v>6</v>
      </c>
      <c r="O33" s="512">
        <v>20.16</v>
      </c>
      <c r="P33" s="17"/>
      <c r="Q33" s="17"/>
      <c r="R33" s="17"/>
      <c r="S33" s="17"/>
      <c r="T33" s="17"/>
      <c r="U33" s="17"/>
      <c r="V33" s="17"/>
      <c r="W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>
        <v>64.327047567595699</v>
      </c>
      <c r="AL33" s="9">
        <v>249.21112844070001</v>
      </c>
      <c r="AM33" s="17"/>
      <c r="AN33" s="400">
        <v>281.55590847515799</v>
      </c>
      <c r="AO33" s="17">
        <v>31.9822675331373</v>
      </c>
      <c r="AP33" s="17"/>
      <c r="AQ33" s="400">
        <v>193.27904691491901</v>
      </c>
      <c r="AR33" s="17">
        <v>13.3431669812</v>
      </c>
      <c r="AS33" s="17"/>
      <c r="AT33" s="17">
        <v>0</v>
      </c>
      <c r="AU33" s="101">
        <v>3.2912709539854901</v>
      </c>
      <c r="AV33" s="17">
        <v>135</v>
      </c>
      <c r="AW33" s="102">
        <v>0</v>
      </c>
      <c r="AX33" s="1" t="e">
        <f>IF([1]Sheet11!$H$47&gt;=400,AT33,IF($J$137&lt;=200,((($H$119-($H$120*$H$121))/(($H$119-($H$120*$H$121*EXP(-$H$121*AW33)))))*(($J$136/($J$136+100))*$J$136))*7.5*(400/[1]Sheet11!$H$47),IF($J$137&lt;=250,((($H$119-($H$120*$H$121))/(($H$119-($H$120*$H$121*EXP(-$H$121*AW33)))))*(($J$136/($J$136+100))))*$J$136*7*(400/[1]Sheet11!$H$47),IF($J$137&lt;300,((($H$119-($H$120*$H$121))/(($H$119-($H$120*$H$121*EXP(-$H$121*AW33)))))*(($J$136/($J$136+100))))*$J$136*8*(400/[1]Sheet11!$H$47),IF(AND([1]Sheet11!$H$47&lt;=50,$J$137&gt;=300),((($H$119-($H$120*$H$121))/(($H$119-($H$120*$H$121*EXP(-$H$121*AW33)))))*(($J$136/($J$136+100))*$J$136))*(400/[1]Sheet11!$H$47),IF(AND([1]Sheet11!$H$47&gt;50,[1]Sheet11!$H$47&lt;=200,$J$137&gt;=300),((($H$119-($H$120*$H$121))/(($H$119-($H$120*$H$121*EXP(-$H$121*AW33)))))*(($J$136/($J$136+100))*$J$136))*3.5*(400/[1]Sheet11!$H$47))))))+2)</f>
        <v>#VALUE!</v>
      </c>
      <c r="AY33" s="1" t="e">
        <f t="shared" si="4"/>
        <v>#VALUE!</v>
      </c>
      <c r="AZ33" t="e">
        <f>IF([1]Sheet11!$H$47=400,((((AW33/AV33)/$G$129)*$G$129*60*[1]Sheet10!$AL$629*[1]Sheet11!$H$54/(($G$129*(AX33/14.7))))*1000),((((AW33/AV33)/$G$129)*$G$129*60*[1]Sheet10!$AL$629*[1]Sheet11!$H$54/(($G$129*(AX33*(400/[1]Sheet11!$H$47)/14.7))))*1000))</f>
        <v>#VALUE!</v>
      </c>
      <c r="BA33" t="e">
        <f>AZ33/[1]Sheet11!$H$47</f>
        <v>#VALUE!</v>
      </c>
      <c r="BB33" t="e">
        <f>IF($E$224&lt;=1,ABS(1/(([1]Sheet11!$H$54/AZ33)-(([1]Sheet11!$H$54)/[1]Sheet11!$H$47))),($E$224/(([1]Sheet11!$H$54/AZ33)-(([1]Sheet11!$H$54-BD33)/[1]Sheet11!$H$47))))</f>
        <v>#VALUE!</v>
      </c>
      <c r="BC33" t="e">
        <f>(BB33/[1]Sheet11!$H$47)</f>
        <v>#VALUE!</v>
      </c>
      <c r="BD33" t="e">
        <f>IF([1]Sheet11!$H$47=400,((AX33*4389120*($D$146^(1+$J$80))/($J$81*($D$150^$J$80)))*(1.26/(3+1/$J$80))^$J$80*AW33/$AW$70),((AX33*(400/[1]Sheet11!$H$47)*4389120*($D$146^(1+$J$80)))/($J$81*($D$150^$J$80)))*(1.3/(3+1/$J$80))^$J$80*AW33/$AW$70)</f>
        <v>#VALUE!</v>
      </c>
      <c r="BE33" t="e">
        <f>IF([1]Sheet11!$H$47=400,((AX33/14.7)*([1]Sheet11!$H$47/1000)*$G$129)/((AW33/'Oil-Based Mud 1'!AV33*60)*[1]Sheet10!$AL$629*([1]Sheet11!$H$54)),((AX33*(400/[1]Sheet11!$H$47)/14.7)*([1]Sheet11!$H$47/1000)*$G$129)/((AW33/'Oil-Based Mud 1'!AV33*60)*[1]Sheet10!$AL$629*([1]Sheet11!$H$54)))+1.6</f>
        <v>#VALUE!</v>
      </c>
      <c r="BF33" t="e">
        <f t="shared" si="0"/>
        <v>#DIV/0!</v>
      </c>
      <c r="BH33">
        <v>0.45944903279232002</v>
      </c>
      <c r="BJ33">
        <f>IF(AV33=0,"0",SQRT(((2*[1]Sheet11!$G$36/2*AV33)/[1]Sheet11!$H$48*((1-([1]Sheet10!$AL$625*[1]Sheet10!$AL$627))*[1]Sheet10!$AL$631/([1]Sheet10!$AL$628*[1]Sheet10!$AL$627))*60*39.37+([1]Sheet11!$G$36/2)^2)))</f>
        <v>6.914894370527839</v>
      </c>
      <c r="BM33" s="429">
        <f>((([1]Sheet11!$H$47/BU33)-1)*LN(BP33/([1]Sheet11!$G$36/2)))</f>
        <v>4.2518930905032937</v>
      </c>
      <c r="BO33" s="17">
        <v>2270</v>
      </c>
      <c r="BP33">
        <f>SQRT(((2*[1]Sheet11!$G$36/2*BO33)/[1]Sheet11!$H$48*((1-([1]Sheet10!$AL$625*[1]Sheet10!$AL$627))*[1]Sheet10!$AL$631/([1]Sheet10!$AL$628*[1]Sheet10!$AL$627))*60*39.37))</f>
        <v>25.547600399474465</v>
      </c>
      <c r="BQ33" s="428" t="e">
        <f t="shared" si="5"/>
        <v>#REF!</v>
      </c>
      <c r="BS33">
        <v>21.3657620996951</v>
      </c>
      <c r="BU33">
        <v>67</v>
      </c>
      <c r="BW33">
        <f>SQRT(((2*[1]Sheet11!$G$36/2*BO33)/[1]Sheet11!$H$48*((1-([1]Sheet10!$AM$625*[1]Sheet10!$AM$627))*[1]Sheet10!$AM$631/([1]Sheet10!$AM$628*[1]Sheet10!$AM$627))*60*39.37))</f>
        <v>48.765538139567582</v>
      </c>
      <c r="BX33">
        <f>SQRT(((2*[1]Sheet11!$G$36/2*BO33)/[1]Sheet11!$H$48*((1-([1]Sheet10!$AN$625*[1]Sheet10!$AN$627))*[1]Sheet10!$AN$631/([1]Sheet10!$AN$628*[1]Sheet10!$AN$627))*60*39.37))</f>
        <v>35.387226141747803</v>
      </c>
      <c r="BZ33" t="e">
        <f t="shared" ca="1" si="1"/>
        <v>#NAME?</v>
      </c>
      <c r="CA33" t="e">
        <f ca="1">(CE33*[1]Sheet10!$AL$629/(7.08*[1]Sheet11!$H$53*(CF33)))*1000*LN(([1]Sheet11!$H$52*12)/(BP33))</f>
        <v>#NAME?</v>
      </c>
      <c r="CB33" t="e">
        <f ca="1">LN(BP33/([1]Sheet11!$G$36/2))/((LN(([1]Sheet11!$H$52*12)/([1]Sheet11!$G$36/2))/CA33)-LN(([1]Sheet11!$H$52*12)/BP33)/[1]Sheet11!$H$47)</f>
        <v>#NAME?</v>
      </c>
      <c r="CC33" t="e">
        <f ca="1">((([1]Sheet11!$H$47/CB33)-1)*LN(BP33/([1]Sheet11!$G$36/2)))</f>
        <v>#NAME?</v>
      </c>
      <c r="CD33" t="e">
        <f t="shared" ca="1" si="2"/>
        <v>#NAME?</v>
      </c>
      <c r="CE33" t="e">
        <f t="shared" ca="1" si="3"/>
        <v>#NAME?</v>
      </c>
      <c r="CF33" t="e">
        <f ca="1">CE33*[1]Sheet10!$AL$629*LN([1]Sheet11!$H$52*12/([1]Sheet11!$G$36/2))/(0.00708*[1]Sheet11!$H$47*[1]Sheet11!$H$53)</f>
        <v>#NAME?</v>
      </c>
      <c r="CH33" s="17">
        <v>0</v>
      </c>
      <c r="CI33" s="17">
        <v>0</v>
      </c>
      <c r="CK33">
        <f>SQRT(((2*[1]Sheet11!$G$36/2*AV34)/[1]Sheet11!$H$48*((1-([1]Sheet10!$AL$625*[1]Sheet10!$AL$627))*[1]Sheet10!$AL$631/([1]Sheet10!$AL$628*[1]Sheet10!$AL$627))*60*39.37))</f>
        <v>6.4568572808184452</v>
      </c>
      <c r="CM33" s="430">
        <v>0</v>
      </c>
      <c r="CN33" s="431">
        <v>4599786</v>
      </c>
      <c r="CO33" s="432">
        <v>0</v>
      </c>
      <c r="CP33" s="433">
        <v>0</v>
      </c>
      <c r="CR33" t="e">
        <f>((([1]Sheet11!$H$47/CH33)-0.8)*LN(CK33/([1]Sheet11!$G$36/2)))</f>
        <v>#DIV/0!</v>
      </c>
    </row>
    <row r="34" spans="1:96" ht="18.75" x14ac:dyDescent="0.3">
      <c r="A34" s="91" t="s">
        <v>40</v>
      </c>
      <c r="B34" s="513"/>
      <c r="C34" s="507">
        <v>9.6300000000000008</v>
      </c>
      <c r="D34" s="508" t="s">
        <v>229</v>
      </c>
      <c r="E34" s="17"/>
      <c r="F34" s="299" t="s">
        <v>99</v>
      </c>
      <c r="G34" s="300"/>
      <c r="H34" s="509">
        <v>1.1200000000000001</v>
      </c>
      <c r="I34" s="501" t="s">
        <v>73</v>
      </c>
      <c r="J34" s="17"/>
      <c r="K34" s="17"/>
      <c r="L34" s="453">
        <v>2</v>
      </c>
      <c r="M34" s="281" t="s">
        <v>116</v>
      </c>
      <c r="N34" s="448">
        <v>4</v>
      </c>
      <c r="O34" s="514">
        <v>17.64</v>
      </c>
      <c r="P34" s="17"/>
      <c r="Q34" s="17"/>
      <c r="R34" s="17"/>
      <c r="S34" s="17"/>
      <c r="T34" s="17"/>
      <c r="U34" s="17"/>
      <c r="V34" s="17"/>
      <c r="W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>
        <v>63.034086267716198</v>
      </c>
      <c r="AL34" s="9">
        <v>250.50408974058001</v>
      </c>
      <c r="AM34" s="17"/>
      <c r="AN34" s="400">
        <v>282.65916588634599</v>
      </c>
      <c r="AO34" s="17">
        <v>30.879010121949801</v>
      </c>
      <c r="AP34" s="17"/>
      <c r="AQ34" s="400">
        <v>193.74329585194999</v>
      </c>
      <c r="AR34" s="17">
        <v>12.878918044168399</v>
      </c>
      <c r="AS34" s="17"/>
      <c r="AT34" s="17">
        <v>0</v>
      </c>
      <c r="AU34" s="101">
        <v>3.4224866616785601</v>
      </c>
      <c r="AV34" s="17">
        <v>145</v>
      </c>
      <c r="AW34" s="102">
        <v>0</v>
      </c>
      <c r="AX34" s="1" t="e">
        <f>IF([1]Sheet11!$H$47&gt;=400,AT34,IF($J$137&lt;=200,((($H$119-($H$120*$H$121))/(($H$119-($H$120*$H$121*EXP(-$H$121*AW34)))))*(($J$136/($J$136+100))*$J$136))*7.5*(400/[1]Sheet11!$H$47),IF($J$137&lt;=250,((($H$119-($H$120*$H$121))/(($H$119-($H$120*$H$121*EXP(-$H$121*AW34)))))*(($J$136/($J$136+100))))*$J$136*7*(400/[1]Sheet11!$H$47),IF($J$137&lt;300,((($H$119-($H$120*$H$121))/(($H$119-($H$120*$H$121*EXP(-$H$121*AW34)))))*(($J$136/($J$136+100))))*$J$136*8*(400/[1]Sheet11!$H$47),IF(AND([1]Sheet11!$H$47&lt;=50,$J$137&gt;=300),((($H$119-($H$120*$H$121))/(($H$119-($H$120*$H$121*EXP(-$H$121*AW34)))))*(($J$136/($J$136+100))*$J$136))*(400/[1]Sheet11!$H$47),IF(AND([1]Sheet11!$H$47&gt;50,[1]Sheet11!$H$47&lt;=200,$J$137&gt;=300),((($H$119-($H$120*$H$121))/(($H$119-($H$120*$H$121*EXP(-$H$121*AW34)))))*(($J$136/($J$136+100))*$J$136))*3.5*(400/[1]Sheet11!$H$47))))))+2)</f>
        <v>#VALUE!</v>
      </c>
      <c r="AY34" s="1" t="e">
        <f t="shared" si="4"/>
        <v>#VALUE!</v>
      </c>
      <c r="AZ34" t="e">
        <f>IF([1]Sheet11!$H$47=400,((((AW34/AV34)/$G$129)*$G$129*60*[1]Sheet10!$AL$629*[1]Sheet11!$H$54/(($G$129*(AX34/14.7))))*1000),((((AW34/AV34)/$G$129)*$G$129*60*[1]Sheet10!$AL$629*[1]Sheet11!$H$54/(($G$129*(AX34*(400/[1]Sheet11!$H$47)/14.7))))*1000))</f>
        <v>#VALUE!</v>
      </c>
      <c r="BA34" t="e">
        <f>AZ34/[1]Sheet11!$H$47</f>
        <v>#VALUE!</v>
      </c>
      <c r="BB34" t="e">
        <f>IF($E$224&lt;=1,ABS(1/(([1]Sheet11!$H$54/AZ34)-(([1]Sheet11!$H$54)/[1]Sheet11!$H$47))),($E$224/(([1]Sheet11!$H$54/AZ34)-(([1]Sheet11!$H$54-BD34)/[1]Sheet11!$H$47))))</f>
        <v>#VALUE!</v>
      </c>
      <c r="BC34" t="e">
        <f>(BB34/[1]Sheet11!$H$47)</f>
        <v>#VALUE!</v>
      </c>
      <c r="BD34" t="e">
        <f>IF([1]Sheet11!$H$47=400,((AX34*4389120*($D$146^(1+$J$80))/($J$81*($D$150^$J$80)))*(1.26/(3+1/$J$80))^$J$80*AW34/$AW$70),((AX34*(400/[1]Sheet11!$H$47)*4389120*($D$146^(1+$J$80)))/($J$81*($D$150^$J$80)))*(1.3/(3+1/$J$80))^$J$80*AW34/$AW$70)</f>
        <v>#VALUE!</v>
      </c>
      <c r="BE34" t="e">
        <f>IF([1]Sheet11!$H$47=400,((AX34/14.7)*([1]Sheet11!$H$47/1000)*$G$129)/((AW34/'Oil-Based Mud 1'!AV34*60)*[1]Sheet10!$AL$629*([1]Sheet11!$H$54)),((AX34*(400/[1]Sheet11!$H$47)/14.7)*([1]Sheet11!$H$47/1000)*$G$129)/((AW34/'Oil-Based Mud 1'!AV34*60)*[1]Sheet10!$AL$629*([1]Sheet11!$H$54)))+1.6</f>
        <v>#VALUE!</v>
      </c>
      <c r="BF34" t="e">
        <f t="shared" si="0"/>
        <v>#DIV/0!</v>
      </c>
      <c r="BH34">
        <v>0.45718423691142301</v>
      </c>
      <c r="BJ34">
        <f>IF(AV34=0,"0",SQRT(((2*[1]Sheet11!$G$36/2*AV34)/[1]Sheet11!$H$48*((1-([1]Sheet10!$AL$625*[1]Sheet10!$AL$627))*[1]Sheet10!$AL$631/([1]Sheet10!$AL$628*[1]Sheet10!$AL$627))*60*39.37+([1]Sheet11!$G$36/2)^2)))</f>
        <v>7.1197616494415152</v>
      </c>
      <c r="BM34" s="429">
        <f>((([1]Sheet11!$H$47/BU34)-1)*LN(BP34/([1]Sheet11!$G$36/2)))</f>
        <v>4.2297866685927463</v>
      </c>
      <c r="BO34" s="17">
        <v>2220</v>
      </c>
      <c r="BP34">
        <f>SQRT(((2*[1]Sheet11!$G$36/2*BO34)/[1]Sheet11!$H$48*((1-([1]Sheet10!$AL$625*[1]Sheet10!$AL$627))*[1]Sheet10!$AL$631/([1]Sheet10!$AL$628*[1]Sheet10!$AL$627))*60*39.37))</f>
        <v>25.264672513704291</v>
      </c>
      <c r="BQ34" s="428" t="e">
        <f t="shared" si="5"/>
        <v>#REF!</v>
      </c>
      <c r="BS34">
        <v>21.8287059275264</v>
      </c>
      <c r="BU34">
        <v>67</v>
      </c>
      <c r="BW34">
        <f>SQRT(((2*[1]Sheet11!$G$36/2*BO34)/[1]Sheet11!$H$48*((1-([1]Sheet10!$AM$625*[1]Sheet10!$AM$627))*[1]Sheet10!$AM$631/([1]Sheet10!$AM$628*[1]Sheet10!$AM$627))*60*39.37))</f>
        <v>48.225482306983146</v>
      </c>
      <c r="BX34">
        <f>SQRT(((2*[1]Sheet11!$G$36/2*BO34)/[1]Sheet11!$H$48*((1-([1]Sheet10!$AN$625*[1]Sheet10!$AN$627))*[1]Sheet10!$AN$631/([1]Sheet10!$AN$628*[1]Sheet10!$AN$627))*60*39.37))</f>
        <v>34.995328941267019</v>
      </c>
      <c r="BZ34" t="e">
        <f t="shared" ca="1" si="1"/>
        <v>#NAME?</v>
      </c>
      <c r="CA34" t="e">
        <f ca="1">(CE34*[1]Sheet10!$AL$629/(7.08*[1]Sheet11!$H$53*(CF34)))*1000*LN(([1]Sheet11!$H$52*12)/(BP34))</f>
        <v>#NAME?</v>
      </c>
      <c r="CB34" t="e">
        <f ca="1">LN(BP34/([1]Sheet11!$G$36/2))/((LN(([1]Sheet11!$H$52*12)/([1]Sheet11!$G$36/2))/CA34)-LN(([1]Sheet11!$H$52*12)/BP34)/[1]Sheet11!$H$47)</f>
        <v>#NAME?</v>
      </c>
      <c r="CC34" t="e">
        <f ca="1">((([1]Sheet11!$H$47/CB34)-1)*LN(BP34/([1]Sheet11!$G$36/2)))</f>
        <v>#NAME?</v>
      </c>
      <c r="CD34" t="e">
        <f t="shared" ca="1" si="2"/>
        <v>#NAME?</v>
      </c>
      <c r="CE34" t="e">
        <f t="shared" ca="1" si="3"/>
        <v>#NAME?</v>
      </c>
      <c r="CF34" t="e">
        <f ca="1">CE34*[1]Sheet10!$AL$629*LN([1]Sheet11!$H$52*12/([1]Sheet11!$G$36/2))/(0.00708*[1]Sheet11!$H$47*[1]Sheet11!$H$53)</f>
        <v>#NAME?</v>
      </c>
      <c r="CH34" s="17">
        <v>0</v>
      </c>
      <c r="CI34" s="17">
        <v>0</v>
      </c>
      <c r="CK34">
        <f>SQRT(((2*[1]Sheet11!$G$36/2*AV35)/[1]Sheet11!$H$48*((1-([1]Sheet10!$AL$625*[1]Sheet10!$AL$627))*[1]Sheet10!$AL$631/([1]Sheet10!$AL$628*[1]Sheet10!$AL$627))*60*39.37))</f>
        <v>6.6757956630021811</v>
      </c>
      <c r="CM34" s="430">
        <v>0</v>
      </c>
      <c r="CN34" s="431">
        <v>4599786</v>
      </c>
      <c r="CO34" s="432">
        <v>0</v>
      </c>
      <c r="CP34" s="433">
        <v>0</v>
      </c>
      <c r="CR34" t="e">
        <f>((([1]Sheet11!$H$47/CH34)-0.8)*LN(CK34/([1]Sheet11!$G$36/2)))</f>
        <v>#DIV/0!</v>
      </c>
    </row>
    <row r="35" spans="1:96" ht="18.75" x14ac:dyDescent="0.3">
      <c r="A35" s="77" t="s">
        <v>36</v>
      </c>
      <c r="B35" s="479"/>
      <c r="C35" s="515">
        <v>13795</v>
      </c>
      <c r="D35" s="499" t="s">
        <v>42</v>
      </c>
      <c r="E35" s="17"/>
      <c r="F35" s="299" t="s">
        <v>100</v>
      </c>
      <c r="G35" s="300"/>
      <c r="H35" s="500">
        <v>3000</v>
      </c>
      <c r="I35" s="501" t="s">
        <v>235</v>
      </c>
      <c r="J35" s="17"/>
      <c r="K35" s="17"/>
      <c r="L35" s="453">
        <v>3</v>
      </c>
      <c r="M35" s="281" t="s">
        <v>117</v>
      </c>
      <c r="N35" s="448">
        <v>150</v>
      </c>
      <c r="O35" s="514">
        <v>36.119999999999997</v>
      </c>
      <c r="P35" s="17"/>
      <c r="Q35" s="17"/>
      <c r="R35" s="17"/>
      <c r="S35" s="17"/>
      <c r="T35" s="17"/>
      <c r="U35" s="17"/>
      <c r="V35" s="17"/>
      <c r="W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>
        <v>61.869436078178303</v>
      </c>
      <c r="AL35" s="9">
        <v>251.668739930117</v>
      </c>
      <c r="AM35" s="17"/>
      <c r="AN35" s="400">
        <v>283.65559984611298</v>
      </c>
      <c r="AO35" s="17">
        <v>29.882576162182499</v>
      </c>
      <c r="AP35" s="17"/>
      <c r="AQ35" s="400">
        <v>194.16223156683</v>
      </c>
      <c r="AR35" s="17">
        <v>12.4599823292883</v>
      </c>
      <c r="AS35" s="17"/>
      <c r="AT35" s="17">
        <v>0</v>
      </c>
      <c r="AU35" s="101">
        <v>3.5492879861250701</v>
      </c>
      <c r="AV35" s="17">
        <v>155</v>
      </c>
      <c r="AW35" s="102">
        <v>0</v>
      </c>
      <c r="AX35" s="1" t="e">
        <f>IF([1]Sheet11!$H$47&gt;=400,AT35,IF($J$137&lt;=200,((($H$119-($H$120*$H$121))/(($H$119-($H$120*$H$121*EXP(-$H$121*AW35)))))*(($J$136/($J$136+100))*$J$136))*7.5*(400/[1]Sheet11!$H$47),IF($J$137&lt;=250,((($H$119-($H$120*$H$121))/(($H$119-($H$120*$H$121*EXP(-$H$121*AW35)))))*(($J$136/($J$136+100))))*$J$136*7*(400/[1]Sheet11!$H$47),IF($J$137&lt;300,((($H$119-($H$120*$H$121))/(($H$119-($H$120*$H$121*EXP(-$H$121*AW35)))))*(($J$136/($J$136+100))))*$J$136*8*(400/[1]Sheet11!$H$47),IF(AND([1]Sheet11!$H$47&lt;=50,$J$137&gt;=300),((($H$119-($H$120*$H$121))/(($H$119-($H$120*$H$121*EXP(-$H$121*AW35)))))*(($J$136/($J$136+100))*$J$136))*(400/[1]Sheet11!$H$47),IF(AND([1]Sheet11!$H$47&gt;50,[1]Sheet11!$H$47&lt;=200,$J$137&gt;=300),((($H$119-($H$120*$H$121))/(($H$119-($H$120*$H$121*EXP(-$H$121*AW35)))))*(($J$136/($J$136+100))*$J$136))*3.5*(400/[1]Sheet11!$H$47))))))+2)</f>
        <v>#VALUE!</v>
      </c>
      <c r="AY35" s="1" t="e">
        <f t="shared" si="4"/>
        <v>#VALUE!</v>
      </c>
      <c r="AZ35" t="e">
        <f>IF([1]Sheet11!$H$47=400,((((AW35/AV35)/$G$129)*$G$129*60*[1]Sheet10!$AL$629*[1]Sheet11!$H$54/(($G$129*(AX35/14.7))))*1000),((((AW35/AV35)/$G$129)*$G$129*60*[1]Sheet10!$AL$629*[1]Sheet11!$H$54/(($G$129*(AX35*(400/[1]Sheet11!$H$47)/14.7))))*1000))</f>
        <v>#VALUE!</v>
      </c>
      <c r="BA35" t="e">
        <f>AZ35/[1]Sheet11!$H$47</f>
        <v>#VALUE!</v>
      </c>
      <c r="BB35" t="e">
        <f>IF($E$224&lt;=1,ABS(1/(([1]Sheet11!$H$54/AZ35)-(([1]Sheet11!$H$54)/[1]Sheet11!$H$47))),($E$224/(([1]Sheet11!$H$54/AZ35)-(([1]Sheet11!$H$54-BD35)/[1]Sheet11!$H$47))))</f>
        <v>#VALUE!</v>
      </c>
      <c r="BC35" t="e">
        <f>(BB35/[1]Sheet11!$H$47)</f>
        <v>#VALUE!</v>
      </c>
      <c r="BD35" t="e">
        <f>IF([1]Sheet11!$H$47=400,((AX35*4389120*($D$146^(1+$J$80))/($J$81*($D$150^$J$80)))*(1.26/(3+1/$J$80))^$J$80*AW35/$AW$70),((AX35*(400/[1]Sheet11!$H$47)*4389120*($D$146^(1+$J$80)))/($J$81*($D$150^$J$80)))*(1.3/(3+1/$J$80))^$J$80*AW35/$AW$70)</f>
        <v>#VALUE!</v>
      </c>
      <c r="BE35" t="e">
        <f>IF([1]Sheet11!$H$47=400,((AX35/14.7)*([1]Sheet11!$H$47/1000)*$G$129)/((AW35/'Oil-Based Mud 1'!AV35*60)*[1]Sheet10!$AL$629*([1]Sheet11!$H$54)),((AX35*(400/[1]Sheet11!$H$47)/14.7)*([1]Sheet11!$H$47/1000)*$G$129)/((AW35/'Oil-Based Mud 1'!AV35*60)*[1]Sheet10!$AL$629*([1]Sheet11!$H$54)))+1.6</f>
        <v>#VALUE!</v>
      </c>
      <c r="BF35" t="e">
        <f t="shared" si="0"/>
        <v>#DIV/0!</v>
      </c>
      <c r="BH35">
        <v>0.45493184543128301</v>
      </c>
      <c r="BJ35">
        <f>IF(AV35=0,"0",SQRT(((2*[1]Sheet11!$G$36/2*AV35)/[1]Sheet11!$H$48*((1-([1]Sheet10!$AL$625*[1]Sheet10!$AL$627))*[1]Sheet10!$AL$631/([1]Sheet10!$AL$628*[1]Sheet10!$AL$627))*60*39.37+([1]Sheet11!$G$36/2)^2)))</f>
        <v>7.3188966199939403</v>
      </c>
      <c r="BM35" s="429">
        <f>((([1]Sheet11!$H$47/BU35)-1)*LN(BP35/([1]Sheet11!$G$36/2)))</f>
        <v>4.2071766404723574</v>
      </c>
      <c r="BO35" s="17">
        <v>2170</v>
      </c>
      <c r="BP35">
        <f>SQRT(((2*[1]Sheet11!$G$36/2*BO35)/[1]Sheet11!$H$48*((1-([1]Sheet10!$AL$625*[1]Sheet10!$AL$627))*[1]Sheet10!$AL$631/([1]Sheet10!$AL$628*[1]Sheet10!$AL$627))*60*39.37))</f>
        <v>24.978540155065552</v>
      </c>
      <c r="BQ35" s="428" t="e">
        <f t="shared" si="5"/>
        <v>#REF!</v>
      </c>
      <c r="BS35">
        <v>22.3316277995362</v>
      </c>
      <c r="BU35">
        <v>67</v>
      </c>
      <c r="BW35">
        <f>SQRT(((2*[1]Sheet11!$G$36/2*BO35)/[1]Sheet11!$H$48*((1-([1]Sheet10!$AM$625*[1]Sheet10!$AM$627))*[1]Sheet10!$AM$631/([1]Sheet10!$AM$628*[1]Sheet10!$AM$627))*60*39.37))</f>
        <v>47.679309741654905</v>
      </c>
      <c r="BX35">
        <f>SQRT(((2*[1]Sheet11!$G$36/2*BO35)/[1]Sheet11!$H$48*((1-([1]Sheet10!$AN$625*[1]Sheet10!$AN$627))*[1]Sheet10!$AN$631/([1]Sheet10!$AN$628*[1]Sheet10!$AN$627))*60*39.37))</f>
        <v>34.598993069275338</v>
      </c>
      <c r="BZ35" t="e">
        <f t="shared" ca="1" si="1"/>
        <v>#NAME?</v>
      </c>
      <c r="CA35" t="e">
        <f ca="1">(CE35*[1]Sheet10!$AL$629/(7.08*[1]Sheet11!$H$53*(CF35)))*1000*LN(([1]Sheet11!$H$52*12)/(BP35))</f>
        <v>#NAME?</v>
      </c>
      <c r="CB35" t="e">
        <f ca="1">LN(BP35/([1]Sheet11!$G$36/2))/((LN(([1]Sheet11!$H$52*12)/([1]Sheet11!$G$36/2))/CA35)-LN(([1]Sheet11!$H$52*12)/BP35)/[1]Sheet11!$H$47)</f>
        <v>#NAME?</v>
      </c>
      <c r="CC35" t="e">
        <f ca="1">((([1]Sheet11!$H$47/CB35)-1)*LN(BP35/([1]Sheet11!$G$36/2)))</f>
        <v>#NAME?</v>
      </c>
      <c r="CD35" t="e">
        <f t="shared" ca="1" si="2"/>
        <v>#NAME?</v>
      </c>
      <c r="CE35" t="e">
        <f t="shared" ca="1" si="3"/>
        <v>#NAME?</v>
      </c>
      <c r="CF35" t="e">
        <f ca="1">CE35*[1]Sheet10!$AL$629*LN([1]Sheet11!$H$52*12/([1]Sheet11!$G$36/2))/(0.00708*[1]Sheet11!$H$47*[1]Sheet11!$H$53)</f>
        <v>#NAME?</v>
      </c>
      <c r="CH35" s="17">
        <v>0</v>
      </c>
      <c r="CI35" s="17">
        <v>0</v>
      </c>
      <c r="CK35">
        <f>SQRT(((2*[1]Sheet11!$G$36/2*AV36)/[1]Sheet11!$H$48*((1-([1]Sheet10!$AL$625*[1]Sheet10!$AL$627))*[1]Sheet10!$AL$631/([1]Sheet10!$AL$628*[1]Sheet10!$AL$627))*60*39.37))</f>
        <v>6.8877782719436675</v>
      </c>
      <c r="CM35" s="430">
        <v>0</v>
      </c>
      <c r="CN35" s="431">
        <v>4599786</v>
      </c>
      <c r="CO35" s="432">
        <v>0</v>
      </c>
      <c r="CP35" s="433">
        <v>0</v>
      </c>
      <c r="CR35" t="e">
        <f>((([1]Sheet11!$H$47/CH35)-0.8)*LN(CK35/([1]Sheet11!$G$36/2)))</f>
        <v>#DIV/0!</v>
      </c>
    </row>
    <row r="36" spans="1:96" ht="18.75" x14ac:dyDescent="0.3">
      <c r="A36" s="84" t="s">
        <v>47</v>
      </c>
      <c r="B36" s="506"/>
      <c r="C36" s="515">
        <v>6.27</v>
      </c>
      <c r="D36" s="508" t="s">
        <v>229</v>
      </c>
      <c r="E36" s="17"/>
      <c r="F36" s="299" t="s">
        <v>101</v>
      </c>
      <c r="G36" s="300"/>
      <c r="H36" s="509">
        <v>2.0299999999999998</v>
      </c>
      <c r="I36" s="501" t="s">
        <v>46</v>
      </c>
      <c r="J36" s="17"/>
      <c r="K36" s="17"/>
      <c r="L36" s="453">
        <v>4</v>
      </c>
      <c r="M36" s="281" t="s">
        <v>118</v>
      </c>
      <c r="N36" s="448">
        <v>35</v>
      </c>
      <c r="O36" s="514">
        <v>21.84</v>
      </c>
      <c r="P36" s="17"/>
      <c r="Q36" s="17"/>
      <c r="R36" s="17"/>
      <c r="S36" s="17"/>
      <c r="T36" s="17"/>
      <c r="U36" s="17"/>
      <c r="V36" s="17"/>
      <c r="W36" s="17"/>
      <c r="Z36" s="17"/>
      <c r="AA36" s="17"/>
      <c r="AB36" s="17"/>
      <c r="AC36" s="17"/>
      <c r="AD36" s="17"/>
      <c r="AE36" s="17"/>
      <c r="AF36" s="17"/>
      <c r="AG36" s="17" t="s">
        <v>236</v>
      </c>
      <c r="AH36" s="17"/>
      <c r="AI36" s="17"/>
      <c r="AJ36" s="17"/>
      <c r="AK36" s="17">
        <v>60.813747872398203</v>
      </c>
      <c r="AL36" s="9">
        <v>252.72442813589799</v>
      </c>
      <c r="AM36" s="17"/>
      <c r="AN36" s="400">
        <v>284.56140626133202</v>
      </c>
      <c r="AO36" s="17">
        <v>28.976769746964099</v>
      </c>
      <c r="AP36" s="17"/>
      <c r="AQ36" s="400">
        <v>194.54277614282</v>
      </c>
      <c r="AR36" s="17">
        <v>12.0794377532984</v>
      </c>
      <c r="AS36" s="17"/>
      <c r="AT36" s="17">
        <v>0</v>
      </c>
      <c r="AU36" s="101">
        <v>3.6720925760360701</v>
      </c>
      <c r="AV36" s="17">
        <v>165</v>
      </c>
      <c r="AW36" s="102">
        <v>0</v>
      </c>
      <c r="AX36" s="1" t="e">
        <f>IF([1]Sheet11!$H$47&gt;=400,AT36,IF($J$137&lt;=200,((($H$119-($H$120*$H$121))/(($H$119-($H$120*$H$121*EXP(-$H$121*AW36)))))*(($J$136/($J$136+100))*$J$136))*7.5*(400/[1]Sheet11!$H$47),IF($J$137&lt;=250,((($H$119-($H$120*$H$121))/(($H$119-($H$120*$H$121*EXP(-$H$121*AW36)))))*(($J$136/($J$136+100))))*$J$136*7*(400/[1]Sheet11!$H$47),IF($J$137&lt;300,((($H$119-($H$120*$H$121))/(($H$119-($H$120*$H$121*EXP(-$H$121*AW36)))))*(($J$136/($J$136+100))))*$J$136*8*(400/[1]Sheet11!$H$47),IF(AND([1]Sheet11!$H$47&lt;=50,$J$137&gt;=300),((($H$119-($H$120*$H$121))/(($H$119-($H$120*$H$121*EXP(-$H$121*AW36)))))*(($J$136/($J$136+100))*$J$136))*(400/[1]Sheet11!$H$47),IF(AND([1]Sheet11!$H$47&gt;50,[1]Sheet11!$H$47&lt;=200,$J$137&gt;=300),((($H$119-($H$120*$H$121))/(($H$119-($H$120*$H$121*EXP(-$H$121*AW36)))))*(($J$136/($J$136+100))*$J$136))*3.5*(400/[1]Sheet11!$H$47))))))+2)</f>
        <v>#VALUE!</v>
      </c>
      <c r="AY36" s="1" t="e">
        <f t="shared" si="4"/>
        <v>#VALUE!</v>
      </c>
      <c r="AZ36" t="e">
        <f>IF([1]Sheet11!$H$47=400,((((AW36/AV36)/$G$129)*$G$129*60*[1]Sheet10!$AL$629*[1]Sheet11!$H$54/(($G$129*(AX36/14.7))))*1000),((((AW36/AV36)/$G$129)*$G$129*60*[1]Sheet10!$AL$629*[1]Sheet11!$H$54/(($G$129*(AX36*(400/[1]Sheet11!$H$47)/14.7))))*1000))</f>
        <v>#VALUE!</v>
      </c>
      <c r="BA36" t="e">
        <f>AZ36/[1]Sheet11!$H$47</f>
        <v>#VALUE!</v>
      </c>
      <c r="BB36" t="e">
        <f>IF($E$224&lt;=1,ABS(1/(([1]Sheet11!$H$54/AZ36)-(([1]Sheet11!$H$54)/[1]Sheet11!$H$47))),($E$224/(([1]Sheet11!$H$54/AZ36)-(([1]Sheet11!$H$54-BD36)/[1]Sheet11!$H$47))))</f>
        <v>#VALUE!</v>
      </c>
      <c r="BC36" t="e">
        <f>(BB36/[1]Sheet11!$H$47)</f>
        <v>#VALUE!</v>
      </c>
      <c r="BD36" t="e">
        <f>IF([1]Sheet11!$H$47=400,((AX36*4389120*($D$146^(1+$J$80))/($J$81*($D$150^$J$80)))*(1.26/(3+1/$J$80))^$J$80*AW36/$AW$70),((AX36*(400/[1]Sheet11!$H$47)*4389120*($D$146^(1+$J$80)))/($J$81*($D$150^$J$80)))*(1.3/(3+1/$J$80))^$J$80*AW36/$AW$70)</f>
        <v>#VALUE!</v>
      </c>
      <c r="BE36" t="e">
        <f>IF([1]Sheet11!$H$47=400,((AX36/14.7)*([1]Sheet11!$H$47/1000)*$G$129)/((AW36/'Oil-Based Mud 1'!AV36*60)*[1]Sheet10!$AL$629*([1]Sheet11!$H$54)),((AX36*(400/[1]Sheet11!$H$47)/14.7)*([1]Sheet11!$H$47/1000)*$G$129)/((AW36/'Oil-Based Mud 1'!AV36*60)*[1]Sheet10!$AL$629*([1]Sheet11!$H$54)))+1.6</f>
        <v>#VALUE!</v>
      </c>
      <c r="BF36" t="e">
        <f t="shared" si="0"/>
        <v>#DIV/0!</v>
      </c>
      <c r="BH36">
        <v>0.45270130341739201</v>
      </c>
      <c r="BJ36">
        <f>IF(AV36=0,"0",SQRT(((2*[1]Sheet11!$G$36/2*AV36)/[1]Sheet11!$H$48*((1-([1]Sheet10!$AL$625*[1]Sheet10!$AL$627))*[1]Sheet10!$AL$631/([1]Sheet10!$AL$628*[1]Sheet10!$AL$627))*60*39.37+([1]Sheet11!$G$36/2)^2)))</f>
        <v>7.5127551220214341</v>
      </c>
      <c r="BM36" s="429">
        <f>((([1]Sheet11!$H$47/BU36)-1)*LN(BP36/([1]Sheet11!$G$36/2)))</f>
        <v>4.1840395248790472</v>
      </c>
      <c r="BO36" s="17">
        <v>2120</v>
      </c>
      <c r="BP36">
        <f>SQRT(((2*[1]Sheet11!$G$36/2*BO36)/[1]Sheet11!$H$48*((1-([1]Sheet10!$AL$625*[1]Sheet10!$AL$627))*[1]Sheet10!$AL$631/([1]Sheet10!$AL$628*[1]Sheet10!$AL$627))*60*39.37))</f>
        <v>24.689091909823645</v>
      </c>
      <c r="BQ36" s="428" t="e">
        <f t="shared" si="5"/>
        <v>#REF!</v>
      </c>
      <c r="BS36">
        <v>22.881939056790898</v>
      </c>
      <c r="BU36">
        <v>67</v>
      </c>
      <c r="BW36">
        <f>SQRT(((2*[1]Sheet11!$G$36/2*BO36)/[1]Sheet11!$H$48*((1-([1]Sheet10!$AM$625*[1]Sheet10!$AM$627))*[1]Sheet10!$AM$631/([1]Sheet10!$AM$628*[1]Sheet10!$AM$627))*60*39.37))</f>
        <v>47.126807775831715</v>
      </c>
      <c r="BX36">
        <f>SQRT(((2*[1]Sheet11!$G$36/2*BO36)/[1]Sheet11!$H$48*((1-([1]Sheet10!$AN$625*[1]Sheet10!$AN$627))*[1]Sheet10!$AN$631/([1]Sheet10!$AN$628*[1]Sheet10!$AN$627))*60*39.37))</f>
        <v>34.19806420118023</v>
      </c>
      <c r="BZ36" t="e">
        <f t="shared" ca="1" si="1"/>
        <v>#NAME?</v>
      </c>
      <c r="CA36" t="e">
        <f ca="1">(CE36*[1]Sheet10!$AL$629/(7.08*[1]Sheet11!$H$53*(CF36)))*1000*LN(([1]Sheet11!$H$52*12)/(BP36))</f>
        <v>#NAME?</v>
      </c>
      <c r="CB36" t="e">
        <f ca="1">LN(BP36/([1]Sheet11!$G$36/2))/((LN(([1]Sheet11!$H$52*12)/([1]Sheet11!$G$36/2))/CA36)-LN(([1]Sheet11!$H$52*12)/BP36)/[1]Sheet11!$H$47)</f>
        <v>#NAME?</v>
      </c>
      <c r="CC36" t="e">
        <f ca="1">((([1]Sheet11!$H$47/CB36)-1)*LN(BP36/([1]Sheet11!$G$36/2)))</f>
        <v>#NAME?</v>
      </c>
      <c r="CD36" t="e">
        <f t="shared" ca="1" si="2"/>
        <v>#NAME?</v>
      </c>
      <c r="CE36" t="e">
        <f t="shared" ca="1" si="3"/>
        <v>#NAME?</v>
      </c>
      <c r="CF36" t="e">
        <f ca="1">CE36*[1]Sheet10!$AL$629*LN([1]Sheet11!$H$52*12/([1]Sheet11!$G$36/2))/(0.00708*[1]Sheet11!$H$47*[1]Sheet11!$H$53)</f>
        <v>#NAME?</v>
      </c>
      <c r="CH36" s="17">
        <v>0</v>
      </c>
      <c r="CI36" s="17">
        <v>0</v>
      </c>
      <c r="CK36">
        <f>SQRT(((2*[1]Sheet11!$G$36/2*AV37)/[1]Sheet11!$H$48*((1-([1]Sheet10!$AL$625*[1]Sheet10!$AL$627))*[1]Sheet10!$AL$631/([1]Sheet10!$AL$628*[1]Sheet10!$AL$627))*60*39.37))</f>
        <v>7.093428741642497</v>
      </c>
      <c r="CM36" s="430">
        <v>0</v>
      </c>
      <c r="CN36" s="431">
        <v>4599786</v>
      </c>
      <c r="CO36" s="432">
        <v>0</v>
      </c>
      <c r="CP36" s="433">
        <v>0</v>
      </c>
      <c r="CR36" t="e">
        <f>((([1]Sheet11!$H$47/CH36)-0.8)*LN(CK36/([1]Sheet11!$G$36/2)))</f>
        <v>#DIV/0!</v>
      </c>
    </row>
    <row r="37" spans="1:96" ht="18.75" x14ac:dyDescent="0.3">
      <c r="A37" s="91" t="s">
        <v>40</v>
      </c>
      <c r="B37" s="513"/>
      <c r="C37" s="515">
        <v>7</v>
      </c>
      <c r="D37" s="508" t="s">
        <v>229</v>
      </c>
      <c r="E37" s="17"/>
      <c r="F37" s="299" t="s">
        <v>102</v>
      </c>
      <c r="G37" s="300"/>
      <c r="H37" s="500">
        <v>2700</v>
      </c>
      <c r="I37" s="501" t="s">
        <v>42</v>
      </c>
      <c r="J37" s="17"/>
      <c r="K37" s="17"/>
      <c r="L37" s="453">
        <v>5</v>
      </c>
      <c r="M37" s="281" t="s">
        <v>120</v>
      </c>
      <c r="N37" s="448">
        <v>5</v>
      </c>
      <c r="O37" s="514">
        <v>13.44</v>
      </c>
      <c r="P37" s="17"/>
      <c r="Q37" s="17"/>
      <c r="R37" s="17"/>
      <c r="S37" s="17"/>
      <c r="T37" s="17"/>
      <c r="U37" s="17"/>
      <c r="V37" s="17"/>
      <c r="W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>
        <v>59.851511852704</v>
      </c>
      <c r="AL37" s="9">
        <v>253.68666415559201</v>
      </c>
      <c r="AM37" s="17"/>
      <c r="AN37" s="400">
        <v>285.38953942984398</v>
      </c>
      <c r="AO37" s="17">
        <v>28.1486365784518</v>
      </c>
      <c r="AP37" s="17"/>
      <c r="AQ37" s="400">
        <v>194.89045632844099</v>
      </c>
      <c r="AR37" s="17">
        <v>11.731757567677899</v>
      </c>
      <c r="AS37" s="17"/>
      <c r="AT37" s="17">
        <v>0</v>
      </c>
      <c r="AU37" s="101">
        <v>3.79125610341625</v>
      </c>
      <c r="AV37" s="17">
        <v>175</v>
      </c>
      <c r="AW37" s="102">
        <v>0</v>
      </c>
      <c r="AX37" s="1" t="e">
        <f>IF([1]Sheet11!$H$47&gt;=400,AT37,IF($J$137&lt;=200,((($H$119-($H$120*$H$121))/(($H$119-($H$120*$H$121*EXP(-$H$121*AW37)))))*(($J$136/($J$136+100))*$J$136))*7.5*(400/[1]Sheet11!$H$47),IF($J$137&lt;=250,((($H$119-($H$120*$H$121))/(($H$119-($H$120*$H$121*EXP(-$H$121*AW37)))))*(($J$136/($J$136+100))))*$J$136*7*(400/[1]Sheet11!$H$47),IF($J$137&lt;300,((($H$119-($H$120*$H$121))/(($H$119-($H$120*$H$121*EXP(-$H$121*AW37)))))*(($J$136/($J$136+100))))*$J$136*8*(400/[1]Sheet11!$H$47),IF(AND([1]Sheet11!$H$47&lt;=50,$J$137&gt;=300),((($H$119-($H$120*$H$121))/(($H$119-($H$120*$H$121*EXP(-$H$121*AW37)))))*(($J$136/($J$136+100))*$J$136))*(400/[1]Sheet11!$H$47),IF(AND([1]Sheet11!$H$47&gt;50,[1]Sheet11!$H$47&lt;=200,$J$137&gt;=300),((($H$119-($H$120*$H$121))/(($H$119-($H$120*$H$121*EXP(-$H$121*AW37)))))*(($J$136/($J$136+100))*$J$136))*3.5*(400/[1]Sheet11!$H$47))))))+2)</f>
        <v>#VALUE!</v>
      </c>
      <c r="AY37" s="1" t="e">
        <f t="shared" si="4"/>
        <v>#VALUE!</v>
      </c>
      <c r="AZ37" t="e">
        <f>IF([1]Sheet11!$H$47=400,((((AW37/AV37)/$G$129)*$G$129*60*[1]Sheet10!$AL$629*[1]Sheet11!$H$54/(($G$129*(AX37/14.7))))*1000),((((AW37/AV37)/$G$129)*$G$129*60*[1]Sheet10!$AL$629*[1]Sheet11!$H$54/(($G$129*(AX37*(400/[1]Sheet11!$H$47)/14.7))))*1000))</f>
        <v>#VALUE!</v>
      </c>
      <c r="BA37" t="e">
        <f>AZ37/[1]Sheet11!$H$47</f>
        <v>#VALUE!</v>
      </c>
      <c r="BB37" t="e">
        <f>IF($E$224&lt;=1,ABS(1/(([1]Sheet11!$H$54/AZ37)-(([1]Sheet11!$H$54)/[1]Sheet11!$H$47))),($E$224/(([1]Sheet11!$H$54/AZ37)-(([1]Sheet11!$H$54-BD37)/[1]Sheet11!$H$47))))</f>
        <v>#VALUE!</v>
      </c>
      <c r="BC37" t="e">
        <f>(BB37/[1]Sheet11!$H$47)</f>
        <v>#VALUE!</v>
      </c>
      <c r="BD37" t="e">
        <f>IF([1]Sheet11!$H$47=400,((AX37*4389120*($D$146^(1+$J$80))/($J$81*($D$150^$J$80)))*(1.26/(3+1/$J$80))^$J$80*AW37/$AW$70),((AX37*(400/[1]Sheet11!$H$47)*4389120*($D$146^(1+$J$80)))/($J$81*($D$150^$J$80)))*(1.3/(3+1/$J$80))^$J$80*AW37/$AW$70)</f>
        <v>#VALUE!</v>
      </c>
      <c r="BE37" t="e">
        <f>IF([1]Sheet11!$H$47=400,((AX37/14.7)*([1]Sheet11!$H$47/1000)*$G$129)/((AW37/'Oil-Based Mud 1'!AV37*60)*[1]Sheet10!$AL$629*([1]Sheet11!$H$54)),((AX37*(400/[1]Sheet11!$H$47)/14.7)*([1]Sheet11!$H$47/1000)*$G$129)/((AW37/'Oil-Based Mud 1'!AV37*60)*[1]Sheet10!$AL$629*([1]Sheet11!$H$54)))+1.6</f>
        <v>#VALUE!</v>
      </c>
      <c r="BF37" t="e">
        <f t="shared" si="0"/>
        <v>#DIV/0!</v>
      </c>
      <c r="BH37">
        <v>0.45049923111211598</v>
      </c>
      <c r="BJ37">
        <f>IF(AV37=0,"0",SQRT(((2*[1]Sheet11!$G$36/2*AV37)/[1]Sheet11!$H$48*((1-([1]Sheet10!$AL$625*[1]Sheet10!$AL$627))*[1]Sheet10!$AL$631/([1]Sheet10!$AL$628*[1]Sheet10!$AL$627))*60*39.37+([1]Sheet11!$G$36/2)^2)))</f>
        <v>7.7017356039246021</v>
      </c>
      <c r="BM37" s="429">
        <f>((([1]Sheet11!$H$47/BU37)-1)*LN(BP37/([1]Sheet11!$G$36/2)))</f>
        <v>4.1603501590052892</v>
      </c>
      <c r="BO37" s="17">
        <v>2070</v>
      </c>
      <c r="BP37">
        <f>SQRT(((2*[1]Sheet11!$G$36/2*BO37)/[1]Sheet11!$H$48*((1-([1]Sheet10!$AL$625*[1]Sheet10!$AL$627))*[1]Sheet10!$AL$631/([1]Sheet10!$AL$628*[1]Sheet10!$AL$627))*60*39.37))</f>
        <v>24.396209754492943</v>
      </c>
      <c r="BQ37" s="428" t="e">
        <f t="shared" si="5"/>
        <v>#REF!</v>
      </c>
      <c r="BS37">
        <v>23.489370573088099</v>
      </c>
      <c r="BU37">
        <v>67</v>
      </c>
      <c r="BW37">
        <f>SQRT(((2*[1]Sheet11!$G$36/2*BO37)/[1]Sheet11!$H$48*((1-([1]Sheet10!$AM$625*[1]Sheet10!$AM$627))*[1]Sheet10!$AM$631/([1]Sheet10!$AM$628*[1]Sheet10!$AM$627))*60*39.37))</f>
        <v>46.567751124997606</v>
      </c>
      <c r="BX37">
        <f>SQRT(((2*[1]Sheet11!$G$36/2*BO37)/[1]Sheet11!$H$48*((1-([1]Sheet10!$AN$625*[1]Sheet10!$AN$627))*[1]Sheet10!$AN$631/([1]Sheet10!$AN$628*[1]Sheet10!$AN$627))*60*39.37))</f>
        <v>33.79237885690096</v>
      </c>
      <c r="BZ37" t="e">
        <f t="shared" ca="1" si="1"/>
        <v>#NAME?</v>
      </c>
      <c r="CA37" t="e">
        <f ca="1">(CE37*[1]Sheet10!$AL$629/(7.08*[1]Sheet11!$H$53*(CF37)))*1000*LN(([1]Sheet11!$H$52*12)/(BP37))</f>
        <v>#NAME?</v>
      </c>
      <c r="CB37" t="e">
        <f ca="1">LN(BP37/([1]Sheet11!$G$36/2))/((LN(([1]Sheet11!$H$52*12)/([1]Sheet11!$G$36/2))/CA37)-LN(([1]Sheet11!$H$52*12)/BP37)/[1]Sheet11!$H$47)</f>
        <v>#NAME?</v>
      </c>
      <c r="CC37" t="e">
        <f ca="1">((([1]Sheet11!$H$47/CB37)-1)*LN(BP37/([1]Sheet11!$G$36/2)))</f>
        <v>#NAME?</v>
      </c>
      <c r="CD37" t="e">
        <f t="shared" ca="1" si="2"/>
        <v>#NAME?</v>
      </c>
      <c r="CE37" t="e">
        <f t="shared" ca="1" si="3"/>
        <v>#NAME?</v>
      </c>
      <c r="CF37" t="e">
        <f ca="1">CE37*[1]Sheet10!$AL$629*LN([1]Sheet11!$H$52*12/([1]Sheet11!$G$36/2))/(0.00708*[1]Sheet11!$H$47*[1]Sheet11!$H$53)</f>
        <v>#NAME?</v>
      </c>
      <c r="CH37" s="17">
        <v>0</v>
      </c>
      <c r="CI37" s="17">
        <v>0</v>
      </c>
      <c r="CK37">
        <f>SQRT(((2*[1]Sheet11!$G$36/2*AV38)/[1]Sheet11!$H$48*((1-([1]Sheet10!$AL$625*[1]Sheet10!$AL$627))*[1]Sheet10!$AL$631/([1]Sheet10!$AL$628*[1]Sheet10!$AL$627))*60*39.37))</f>
        <v>7.2932827383874557</v>
      </c>
      <c r="CM37" s="430">
        <v>0</v>
      </c>
      <c r="CN37" s="431">
        <v>4599786</v>
      </c>
      <c r="CO37" s="432">
        <v>0</v>
      </c>
      <c r="CP37" s="433">
        <v>0</v>
      </c>
      <c r="CR37" t="e">
        <f>((([1]Sheet11!$H$47/CH37)-0.8)*LN(CK37/([1]Sheet11!$G$36/2)))</f>
        <v>#DIV/0!</v>
      </c>
    </row>
    <row r="38" spans="1:96" ht="15" x14ac:dyDescent="0.25">
      <c r="A38" s="17"/>
      <c r="B38" s="17"/>
      <c r="C38" s="17"/>
      <c r="D38" s="17"/>
      <c r="E38" s="17"/>
      <c r="F38" s="299" t="s">
        <v>103</v>
      </c>
      <c r="G38" s="300"/>
      <c r="H38" s="500">
        <v>310</v>
      </c>
      <c r="I38" s="501" t="s">
        <v>42</v>
      </c>
      <c r="J38" s="17"/>
      <c r="K38" s="17"/>
      <c r="L38" s="453">
        <v>6</v>
      </c>
      <c r="M38" s="281" t="s">
        <v>122</v>
      </c>
      <c r="N38" s="448">
        <v>0</v>
      </c>
      <c r="O38" s="514">
        <v>13.44</v>
      </c>
      <c r="P38" s="17"/>
      <c r="Q38" s="17"/>
      <c r="R38" s="17"/>
      <c r="S38" s="17"/>
      <c r="T38" s="17"/>
      <c r="U38" s="17"/>
      <c r="V38" s="17"/>
      <c r="W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>
        <v>58.970137008049001</v>
      </c>
      <c r="AL38" s="9">
        <v>254.56803900024701</v>
      </c>
      <c r="AM38" s="17"/>
      <c r="AN38" s="400">
        <v>286.15050119459198</v>
      </c>
      <c r="AO38" s="17">
        <v>27.387674813703601</v>
      </c>
      <c r="AP38" s="17"/>
      <c r="AQ38" s="400">
        <v>195.209745516156</v>
      </c>
      <c r="AR38" s="17">
        <v>11.412468379962499</v>
      </c>
      <c r="AS38" s="17"/>
      <c r="AT38" s="17">
        <v>0</v>
      </c>
      <c r="AU38" s="101">
        <v>3.9070844226609198</v>
      </c>
      <c r="AV38" s="17">
        <v>185</v>
      </c>
      <c r="AW38" s="102">
        <v>0</v>
      </c>
      <c r="AX38" s="1" t="e">
        <f>IF([1]Sheet11!$H$47&gt;=400,AT38,IF($J$137&lt;=200,((($H$119-($H$120*$H$121))/(($H$119-($H$120*$H$121*EXP(-$H$121*AW38)))))*(($J$136/($J$136+100))*$J$136))*7.5*(400/[1]Sheet11!$H$47),IF($J$137&lt;=250,((($H$119-($H$120*$H$121))/(($H$119-($H$120*$H$121*EXP(-$H$121*AW38)))))*(($J$136/($J$136+100))))*$J$136*7*(400/[1]Sheet11!$H$47),IF($J$137&lt;300,((($H$119-($H$120*$H$121))/(($H$119-($H$120*$H$121*EXP(-$H$121*AW38)))))*(($J$136/($J$136+100))))*$J$136*8*(400/[1]Sheet11!$H$47),IF(AND([1]Sheet11!$H$47&lt;=50,$J$137&gt;=300),((($H$119-($H$120*$H$121))/(($H$119-($H$120*$H$121*EXP(-$H$121*AW38)))))*(($J$136/($J$136+100))*$J$136))*(400/[1]Sheet11!$H$47),IF(AND([1]Sheet11!$H$47&gt;50,[1]Sheet11!$H$47&lt;=200,$J$137&gt;=300),((($H$119-($H$120*$H$121))/(($H$119-($H$120*$H$121*EXP(-$H$121*AW38)))))*(($J$136/($J$136+100))*$J$136))*3.5*(400/[1]Sheet11!$H$47))))))+2)</f>
        <v>#VALUE!</v>
      </c>
      <c r="AY38" s="1" t="e">
        <f t="shared" si="4"/>
        <v>#VALUE!</v>
      </c>
      <c r="AZ38" t="e">
        <f>IF([1]Sheet11!$H$47=400,((((AW38/AV38)/$G$129)*$G$129*60*[1]Sheet10!$AL$629*[1]Sheet11!$H$54/(($G$129*(AX38/14.7))))*1000),((((AW38/AV38)/$G$129)*$G$129*60*[1]Sheet10!$AL$629*[1]Sheet11!$H$54/(($G$129*(AX38*(400/[1]Sheet11!$H$47)/14.7))))*1000))</f>
        <v>#VALUE!</v>
      </c>
      <c r="BA38" t="e">
        <f>AZ38/[1]Sheet11!$H$47</f>
        <v>#VALUE!</v>
      </c>
      <c r="BB38" t="e">
        <f>IF($E$224&lt;=1,ABS(1/(([1]Sheet11!$H$54/AZ38)-(([1]Sheet11!$H$54)/[1]Sheet11!$H$47))),($E$224/(([1]Sheet11!$H$54/AZ38)-(([1]Sheet11!$H$54-BD38)/[1]Sheet11!$H$47))))</f>
        <v>#VALUE!</v>
      </c>
      <c r="BC38" t="e">
        <f>(BB38/[1]Sheet11!$H$47)</f>
        <v>#VALUE!</v>
      </c>
      <c r="BD38" t="e">
        <f>IF([1]Sheet11!$H$47=400,((AX38*4389120*($D$146^(1+$J$80))/($J$81*($D$150^$J$80)))*(1.26/(3+1/$J$80))^$J$80*AW38/$AW$70),((AX38*(400/[1]Sheet11!$H$47)*4389120*($D$146^(1+$J$80)))/($J$81*($D$150^$J$80)))*(1.3/(3+1/$J$80))^$J$80*AW38/$AW$70)</f>
        <v>#VALUE!</v>
      </c>
      <c r="BE38" t="e">
        <f>IF([1]Sheet11!$H$47=400,((AX38/14.7)*([1]Sheet11!$H$47/1000)*$G$129)/((AW38/'Oil-Based Mud 1'!AV38*60)*[1]Sheet10!$AL$629*([1]Sheet11!$H$54)),((AX38*(400/[1]Sheet11!$H$47)/14.7)*([1]Sheet11!$H$47/1000)*$G$129)/((AW38/'Oil-Based Mud 1'!AV38*60)*[1]Sheet10!$AL$629*([1]Sheet11!$H$54)))+1.6</f>
        <v>#VALUE!</v>
      </c>
      <c r="BF38" t="e">
        <f t="shared" si="0"/>
        <v>#DIV/0!</v>
      </c>
      <c r="BH38">
        <v>0.44833007533950497</v>
      </c>
      <c r="BJ38">
        <f>IF(AV38=0,"0",SQRT(((2*[1]Sheet11!$G$36/2*AV38)/[1]Sheet11!$H$48*((1-([1]Sheet10!$AL$625*[1]Sheet10!$AL$627))*[1]Sheet10!$AL$631/([1]Sheet10!$AL$628*[1]Sheet10!$AL$627))*60*39.37+([1]Sheet11!$G$36/2)^2)))</f>
        <v>7.8861887564311077</v>
      </c>
      <c r="BM38" s="429">
        <f>((([1]Sheet11!$H$47/BU38)-1)*LN(BP38/([1]Sheet11!$G$36/2)))</f>
        <v>4.1360815340057835</v>
      </c>
      <c r="BO38" s="17">
        <v>2020</v>
      </c>
      <c r="BP38">
        <f>SQRT(((2*[1]Sheet11!$G$36/2*BO38)/[1]Sheet11!$H$48*((1-([1]Sheet10!$AL$625*[1]Sheet10!$AL$627))*[1]Sheet10!$AL$631/([1]Sheet10!$AL$628*[1]Sheet10!$AL$627))*60*39.37))</f>
        <v>24.099768493467188</v>
      </c>
      <c r="BQ38" s="428" t="e">
        <f t="shared" si="5"/>
        <v>#REF!</v>
      </c>
      <c r="BS38">
        <v>24.167088974296199</v>
      </c>
      <c r="BU38">
        <v>67</v>
      </c>
      <c r="BW38">
        <f>SQRT(((2*[1]Sheet11!$G$36/2*BO38)/[1]Sheet11!$H$48*((1-([1]Sheet10!$AM$625*[1]Sheet10!$AM$627))*[1]Sheet10!$AM$631/([1]Sheet10!$AM$628*[1]Sheet10!$AM$627))*60*39.37))</f>
        <v>46.001900814414611</v>
      </c>
      <c r="BX38">
        <f>SQRT(((2*[1]Sheet11!$G$36/2*BO38)/[1]Sheet11!$H$48*((1-([1]Sheet10!$AN$625*[1]Sheet10!$AN$627))*[1]Sheet10!$AN$631/([1]Sheet10!$AN$628*[1]Sheet10!$AN$627))*60*39.37))</f>
        <v>33.381763621903033</v>
      </c>
      <c r="BZ38" t="e">
        <f t="shared" ca="1" si="1"/>
        <v>#NAME?</v>
      </c>
      <c r="CA38" t="e">
        <f ca="1">(CE38*[1]Sheet10!$AL$629/(7.08*[1]Sheet11!$H$53*(CF38)))*1000*LN(([1]Sheet11!$H$52*12)/(BP38))</f>
        <v>#NAME?</v>
      </c>
      <c r="CB38" t="e">
        <f ca="1">LN(BP38/([1]Sheet11!$G$36/2))/((LN(([1]Sheet11!$H$52*12)/([1]Sheet11!$G$36/2))/CA38)-LN(([1]Sheet11!$H$52*12)/BP38)/[1]Sheet11!$H$47)</f>
        <v>#NAME?</v>
      </c>
      <c r="CC38" t="e">
        <f ca="1">((([1]Sheet11!$H$47/CB38)-1)*LN(BP38/([1]Sheet11!$G$36/2)))</f>
        <v>#NAME?</v>
      </c>
      <c r="CD38" t="e">
        <f t="shared" ca="1" si="2"/>
        <v>#NAME?</v>
      </c>
      <c r="CE38" t="e">
        <f t="shared" ca="1" si="3"/>
        <v>#NAME?</v>
      </c>
      <c r="CF38" t="e">
        <f ca="1">CE38*[1]Sheet10!$AL$629*LN([1]Sheet11!$H$52*12/([1]Sheet11!$G$36/2))/(0.00708*[1]Sheet11!$H$47*[1]Sheet11!$H$53)</f>
        <v>#NAME?</v>
      </c>
      <c r="CH38" s="17">
        <v>0</v>
      </c>
      <c r="CI38" s="17">
        <v>0</v>
      </c>
      <c r="CK38">
        <f>SQRT(((2*[1]Sheet11!$G$36/2*AV39)/[1]Sheet11!$H$48*((1-([1]Sheet10!$AL$625*[1]Sheet10!$AL$627))*[1]Sheet10!$AL$631/([1]Sheet10!$AL$628*[1]Sheet10!$AL$627))*60*39.37))</f>
        <v>7.4878044105973407</v>
      </c>
      <c r="CM38" s="430">
        <v>0</v>
      </c>
      <c r="CN38" s="431">
        <v>4599786</v>
      </c>
      <c r="CO38" s="432">
        <v>0</v>
      </c>
      <c r="CP38" s="433">
        <v>0</v>
      </c>
      <c r="CR38" t="e">
        <f>((([1]Sheet11!$H$47/CH38)-0.8)*LN(CK38/([1]Sheet11!$G$36/2)))</f>
        <v>#DIV/0!</v>
      </c>
    </row>
    <row r="39" spans="1:96" ht="18.75" x14ac:dyDescent="0.3">
      <c r="A39" s="423" t="s">
        <v>59</v>
      </c>
      <c r="B39" s="498"/>
      <c r="C39" s="498"/>
      <c r="D39" s="458"/>
      <c r="E39" s="17"/>
      <c r="F39" s="299" t="s">
        <v>104</v>
      </c>
      <c r="G39" s="300"/>
      <c r="H39" s="509">
        <v>3.15</v>
      </c>
      <c r="I39" s="501" t="s">
        <v>237</v>
      </c>
      <c r="J39" s="17"/>
      <c r="K39" s="17"/>
      <c r="L39" s="453">
        <v>7</v>
      </c>
      <c r="M39" s="281" t="s">
        <v>124</v>
      </c>
      <c r="N39" s="448">
        <v>3</v>
      </c>
      <c r="O39" s="514">
        <v>11.76</v>
      </c>
      <c r="P39" s="17"/>
      <c r="Q39" s="17"/>
      <c r="R39" s="17"/>
      <c r="S39" s="17"/>
      <c r="T39" s="17"/>
      <c r="U39" s="17"/>
      <c r="V39" s="17"/>
      <c r="W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>
        <v>58.159276931937697</v>
      </c>
      <c r="AL39" s="9">
        <v>255.37889907635801</v>
      </c>
      <c r="AM39" s="17"/>
      <c r="AN39" s="400">
        <v>286.85290731624099</v>
      </c>
      <c r="AO39" s="17">
        <v>26.685268692054802</v>
      </c>
      <c r="AP39" s="17"/>
      <c r="AQ39" s="400">
        <v>195.504308561382</v>
      </c>
      <c r="AR39" s="17">
        <v>11.1179053347366</v>
      </c>
      <c r="AS39" s="17"/>
      <c r="AT39" s="17">
        <v>0</v>
      </c>
      <c r="AU39" s="101">
        <v>4.0198428243930104</v>
      </c>
      <c r="AV39" s="17">
        <v>195</v>
      </c>
      <c r="AW39" s="102">
        <v>0</v>
      </c>
      <c r="AX39" s="1" t="e">
        <f>IF([1]Sheet11!$H$47&gt;=400,AT39,IF($J$137&lt;=200,((($H$119-($H$120*$H$121))/(($H$119-($H$120*$H$121*EXP(-$H$121*AW39)))))*(($J$136/($J$136+100))*$J$136))*7.5*(400/[1]Sheet11!$H$47),IF($J$137&lt;=250,((($H$119-($H$120*$H$121))/(($H$119-($H$120*$H$121*EXP(-$H$121*AW39)))))*(($J$136/($J$136+100))))*$J$136*7*(400/[1]Sheet11!$H$47),IF($J$137&lt;300,((($H$119-($H$120*$H$121))/(($H$119-($H$120*$H$121*EXP(-$H$121*AW39)))))*(($J$136/($J$136+100))))*$J$136*8*(400/[1]Sheet11!$H$47),IF(AND([1]Sheet11!$H$47&lt;=50,$J$137&gt;=300),((($H$119-($H$120*$H$121))/(($H$119-($H$120*$H$121*EXP(-$H$121*AW39)))))*(($J$136/($J$136+100))*$J$136))*(400/[1]Sheet11!$H$47),IF(AND([1]Sheet11!$H$47&gt;50,[1]Sheet11!$H$47&lt;=200,$J$137&gt;=300),((($H$119-($H$120*$H$121))/(($H$119-($H$120*$H$121*EXP(-$H$121*AW39)))))*(($J$136/($J$136+100))*$J$136))*3.5*(400/[1]Sheet11!$H$47))))))+2)</f>
        <v>#VALUE!</v>
      </c>
      <c r="AY39" s="1" t="e">
        <f t="shared" si="4"/>
        <v>#VALUE!</v>
      </c>
      <c r="AZ39" t="e">
        <f>IF([1]Sheet11!$H$47=400,((((AW39/AV39)/$G$129)*$G$129*60*[1]Sheet10!$AL$629*[1]Sheet11!$H$54/(($G$129*(AX39/14.7))))*1000),((((AW39/AV39)/$G$129)*$G$129*60*[1]Sheet10!$AL$629*[1]Sheet11!$H$54/(($G$129*(AX39*(400/[1]Sheet11!$H$47)/14.7))))*1000))</f>
        <v>#VALUE!</v>
      </c>
      <c r="BA39" t="e">
        <f>AZ39/[1]Sheet11!$H$47</f>
        <v>#VALUE!</v>
      </c>
      <c r="BB39" t="e">
        <f>IF($E$224&lt;=1,ABS(1/(([1]Sheet11!$H$54/AZ39)-(([1]Sheet11!$H$54)/[1]Sheet11!$H$47))),($E$224/(([1]Sheet11!$H$54/AZ39)-(([1]Sheet11!$H$54-BD39)/[1]Sheet11!$H$47))))</f>
        <v>#VALUE!</v>
      </c>
      <c r="BC39" t="e">
        <f>(BB39/[1]Sheet11!$H$47)</f>
        <v>#VALUE!</v>
      </c>
      <c r="BD39" t="e">
        <f>IF([1]Sheet11!$H$47=400,((AX39*4389120*($D$146^(1+$J$80))/($J$81*($D$150^$J$80)))*(1.26/(3+1/$J$80))^$J$80*AW39/$AW$70),((AX39*(400/[1]Sheet11!$H$47)*4389120*($D$146^(1+$J$80)))/($J$81*($D$150^$J$80)))*(1.3/(3+1/$J$80))^$J$80*AW39/$AW$70)</f>
        <v>#VALUE!</v>
      </c>
      <c r="BE39" t="e">
        <f>IF([1]Sheet11!$H$47=400,((AX39/14.7)*([1]Sheet11!$H$47/1000)*$G$129)/((AW39/'Oil-Based Mud 1'!AV39*60)*[1]Sheet10!$AL$629*([1]Sheet11!$H$54)),((AX39*(400/[1]Sheet11!$H$47)/14.7)*([1]Sheet11!$H$47/1000)*$G$129)/((AW39/'Oil-Based Mud 1'!AV39*60)*[1]Sheet10!$AL$629*([1]Sheet11!$H$54)))+1.6</f>
        <v>#VALUE!</v>
      </c>
      <c r="BF39" t="e">
        <f t="shared" si="0"/>
        <v>#DIV/0!</v>
      </c>
      <c r="BH39">
        <v>0.446196841913164</v>
      </c>
      <c r="BJ39">
        <f>IF(AV39=0,"0",SQRT(((2*[1]Sheet11!$G$36/2*AV39)/[1]Sheet11!$H$48*((1-([1]Sheet10!$AL$625*[1]Sheet10!$AL$627))*[1]Sheet10!$AL$631/([1]Sheet10!$AL$628*[1]Sheet10!$AL$627))*60*39.37+([1]Sheet11!$G$36/2)^2)))</f>
        <v>8.0664251618273237</v>
      </c>
      <c r="BM39" s="429">
        <f>((([1]Sheet11!$H$47/BU39)-1)*LN(BP39/([1]Sheet11!$G$36/2)))</f>
        <v>4.1112046098848296</v>
      </c>
      <c r="BO39" s="17">
        <v>1970</v>
      </c>
      <c r="BP39">
        <f>SQRT(((2*[1]Sheet11!$G$36/2*BO39)/[1]Sheet11!$H$48*((1-([1]Sheet10!$AL$625*[1]Sheet10!$AL$627))*[1]Sheet10!$AL$631/([1]Sheet10!$AL$628*[1]Sheet10!$AL$627))*60*39.37))</f>
        <v>23.79963513359419</v>
      </c>
      <c r="BQ39" s="428" t="e">
        <f t="shared" si="5"/>
        <v>#REF!</v>
      </c>
      <c r="BS39">
        <v>24.933579428731299</v>
      </c>
      <c r="BU39">
        <v>67</v>
      </c>
      <c r="BW39">
        <f>SQRT(((2*[1]Sheet11!$G$36/2*BO39)/[1]Sheet11!$H$48*((1-([1]Sheet10!$AM$625*[1]Sheet10!$AM$627))*[1]Sheet10!$AM$631/([1]Sheet10!$AM$628*[1]Sheet10!$AM$627))*60*39.37))</f>
        <v>45.429002985304038</v>
      </c>
      <c r="BX39">
        <f>SQRT(((2*[1]Sheet11!$G$36/2*BO39)/[1]Sheet11!$H$48*((1-([1]Sheet10!$AN$625*[1]Sheet10!$AN$627))*[1]Sheet10!$AN$631/([1]Sheet10!$AN$628*[1]Sheet10!$AN$627))*60*39.37))</f>
        <v>32.966034280891158</v>
      </c>
      <c r="BZ39" t="e">
        <f t="shared" ca="1" si="1"/>
        <v>#NAME?</v>
      </c>
      <c r="CA39" t="e">
        <f ca="1">(CE39*[1]Sheet10!$AL$629/(7.08*[1]Sheet11!$H$53*(CF39)))*1000*LN(([1]Sheet11!$H$52*12)/(BP39))</f>
        <v>#NAME?</v>
      </c>
      <c r="CB39" t="e">
        <f ca="1">LN(BP39/([1]Sheet11!$G$36/2))/((LN(([1]Sheet11!$H$52*12)/([1]Sheet11!$G$36/2))/CA39)-LN(([1]Sheet11!$H$52*12)/BP39)/[1]Sheet11!$H$47)</f>
        <v>#NAME?</v>
      </c>
      <c r="CC39" t="e">
        <f ca="1">((([1]Sheet11!$H$47/CB39)-1)*LN(BP39/([1]Sheet11!$G$36/2)))</f>
        <v>#NAME?</v>
      </c>
      <c r="CD39" t="e">
        <f t="shared" ca="1" si="2"/>
        <v>#NAME?</v>
      </c>
      <c r="CE39" t="e">
        <f t="shared" ca="1" si="3"/>
        <v>#NAME?</v>
      </c>
      <c r="CF39" t="e">
        <f ca="1">CE39*[1]Sheet10!$AL$629*LN([1]Sheet11!$H$52*12/([1]Sheet11!$G$36/2))/(0.00708*[1]Sheet11!$H$47*[1]Sheet11!$H$53)</f>
        <v>#NAME?</v>
      </c>
      <c r="CH39" s="17">
        <v>0</v>
      </c>
      <c r="CI39" s="17">
        <v>0</v>
      </c>
      <c r="CK39">
        <f>SQRT(((2*[1]Sheet11!$G$36/2*AV40)/[1]Sheet11!$H$48*((1-([1]Sheet10!$AL$625*[1]Sheet10!$AL$627))*[1]Sheet10!$AL$631/([1]Sheet10!$AL$628*[1]Sheet10!$AL$627))*60*39.37))</f>
        <v>7.6773990830659269</v>
      </c>
      <c r="CM39" s="430">
        <v>0</v>
      </c>
      <c r="CN39" s="431">
        <v>4599786</v>
      </c>
      <c r="CO39" s="432">
        <v>0</v>
      </c>
      <c r="CP39" s="433">
        <v>0</v>
      </c>
      <c r="CR39" t="e">
        <f>((([1]Sheet11!$H$47/CH39)-0.8)*LN(CK39/([1]Sheet11!$G$36/2)))</f>
        <v>#DIV/0!</v>
      </c>
    </row>
    <row r="40" spans="1:96" ht="18.75" x14ac:dyDescent="0.3">
      <c r="A40" s="107" t="s">
        <v>60</v>
      </c>
      <c r="B40" s="516"/>
      <c r="C40" s="517">
        <v>5</v>
      </c>
      <c r="D40" s="518" t="s">
        <v>229</v>
      </c>
      <c r="E40" s="17">
        <v>0</v>
      </c>
      <c r="F40" s="131" t="s">
        <v>105</v>
      </c>
      <c r="G40" s="519"/>
      <c r="H40" s="520">
        <v>2.75</v>
      </c>
      <c r="I40" s="521" t="s">
        <v>237</v>
      </c>
      <c r="J40" s="17"/>
      <c r="K40" s="17"/>
      <c r="L40" s="488">
        <v>8</v>
      </c>
      <c r="M40" s="522">
        <v>0</v>
      </c>
      <c r="N40" s="523">
        <v>0</v>
      </c>
      <c r="O40" s="524">
        <v>11.76</v>
      </c>
      <c r="P40" s="17"/>
      <c r="Q40" s="17"/>
      <c r="R40" s="17"/>
      <c r="S40" s="17"/>
      <c r="T40" s="17"/>
      <c r="U40" s="17"/>
      <c r="V40" s="17"/>
      <c r="W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>
        <v>57.410344895945101</v>
      </c>
      <c r="AL40" s="9">
        <v>256.12783111235098</v>
      </c>
      <c r="AM40" s="17"/>
      <c r="AN40" s="400">
        <v>287.50390176953198</v>
      </c>
      <c r="AO40" s="17">
        <v>26.034274238763299</v>
      </c>
      <c r="AP40" s="17"/>
      <c r="AQ40" s="400">
        <v>195.77718046548199</v>
      </c>
      <c r="AR40" s="17">
        <v>10.8450334306365</v>
      </c>
      <c r="AS40" s="17"/>
      <c r="AT40" s="17">
        <v>0</v>
      </c>
      <c r="AU40" s="101">
        <v>4.1297631899523202</v>
      </c>
      <c r="AV40" s="17">
        <v>205</v>
      </c>
      <c r="AW40" s="102">
        <v>0</v>
      </c>
      <c r="AX40" s="1" t="e">
        <f>IF([1]Sheet11!$H$47&gt;=400,AT40,IF($J$137&lt;=200,((($H$119-($H$120*$H$121))/(($H$119-($H$120*$H$121*EXP(-$H$121*AW40)))))*(($J$136/($J$136+100))*$J$136))*7.5*(400/[1]Sheet11!$H$47),IF($J$137&lt;=250,((($H$119-($H$120*$H$121))/(($H$119-($H$120*$H$121*EXP(-$H$121*AW40)))))*(($J$136/($J$136+100))))*$J$136*7*(400/[1]Sheet11!$H$47),IF($J$137&lt;300,((($H$119-($H$120*$H$121))/(($H$119-($H$120*$H$121*EXP(-$H$121*AW40)))))*(($J$136/($J$136+100))))*$J$136*8*(400/[1]Sheet11!$H$47),IF(AND([1]Sheet11!$H$47&lt;=50,$J$137&gt;=300),((($H$119-($H$120*$H$121))/(($H$119-($H$120*$H$121*EXP(-$H$121*AW40)))))*(($J$136/($J$136+100))*$J$136))*(400/[1]Sheet11!$H$47),IF(AND([1]Sheet11!$H$47&gt;50,[1]Sheet11!$H$47&lt;=200,$J$137&gt;=300),((($H$119-($H$120*$H$121))/(($H$119-($H$120*$H$121*EXP(-$H$121*AW40)))))*(($J$136/($J$136+100))*$J$136))*3.5*(400/[1]Sheet11!$H$47))))))+2)</f>
        <v>#VALUE!</v>
      </c>
      <c r="AY40" s="1" t="e">
        <f t="shared" si="4"/>
        <v>#VALUE!</v>
      </c>
      <c r="AZ40" t="e">
        <f>IF([1]Sheet11!$H$47=400,((((AW40/AV40)/$G$129)*$G$129*60*[1]Sheet10!$AL$629*[1]Sheet11!$H$54/(($G$129*(AX40/14.7))))*1000),((((AW40/AV40)/$G$129)*$G$129*60*[1]Sheet10!$AL$629*[1]Sheet11!$H$54/(($G$129*(AX40*(400/[1]Sheet11!$H$47)/14.7))))*1000))</f>
        <v>#VALUE!</v>
      </c>
      <c r="BA40" t="e">
        <f>AZ40/[1]Sheet11!$H$47</f>
        <v>#VALUE!</v>
      </c>
      <c r="BB40" t="e">
        <f>IF($E$224&lt;=1,ABS(1/(([1]Sheet11!$H$54/AZ40)-(([1]Sheet11!$H$54)/[1]Sheet11!$H$47))),($E$224/(([1]Sheet11!$H$54/AZ40)-(([1]Sheet11!$H$54-BD40)/[1]Sheet11!$H$47))))</f>
        <v>#VALUE!</v>
      </c>
      <c r="BC40" t="e">
        <f>(BB40/[1]Sheet11!$H$47)</f>
        <v>#VALUE!</v>
      </c>
      <c r="BD40" t="e">
        <f>IF([1]Sheet11!$H$47=400,((AX40*4389120*($D$146^(1+$J$80))/($J$81*($D$150^$J$80)))*(1.26/(3+1/$J$80))^$J$80*AW40/$AW$70),((AX40*(400/[1]Sheet11!$H$47)*4389120*($D$146^(1+$J$80)))/($J$81*($D$150^$J$80)))*(1.3/(3+1/$J$80))^$J$80*AW40/$AW$70)</f>
        <v>#VALUE!</v>
      </c>
      <c r="BE40" t="e">
        <f>IF([1]Sheet11!$H$47=400,((AX40/14.7)*([1]Sheet11!$H$47/1000)*$G$129)/((AW40/'Oil-Based Mud 1'!AV40*60)*[1]Sheet10!$AL$629*([1]Sheet11!$H$54)),((AX40*(400/[1]Sheet11!$H$47)/14.7)*([1]Sheet11!$H$47/1000)*$G$129)/((AW40/'Oil-Based Mud 1'!AV40*60)*[1]Sheet10!$AL$629*([1]Sheet11!$H$54)))+1.6</f>
        <v>#VALUE!</v>
      </c>
      <c r="BF40" t="e">
        <f t="shared" si="0"/>
        <v>#DIV/0!</v>
      </c>
      <c r="BH40">
        <v>0.444101371727601</v>
      </c>
      <c r="BJ40">
        <f>IF(AV40=0,"0",SQRT(((2*[1]Sheet11!$G$36/2*AV40)/[1]Sheet11!$H$48*((1-([1]Sheet10!$AL$625*[1]Sheet10!$AL$627))*[1]Sheet10!$AL$631/([1]Sheet10!$AL$628*[1]Sheet10!$AL$627))*60*39.37+([1]Sheet11!$G$36/2)^2)))</f>
        <v>8.2427214365561046</v>
      </c>
      <c r="BM40" s="429">
        <f>((([1]Sheet11!$H$47/BU40)-1)*LN(BP40/([1]Sheet11!$G$36/2)))</f>
        <v>4.085688106582908</v>
      </c>
      <c r="BO40" s="17">
        <v>1920</v>
      </c>
      <c r="BP40">
        <f>SQRT(((2*[1]Sheet11!$G$36/2*BO40)/[1]Sheet11!$H$48*((1-([1]Sheet10!$AL$625*[1]Sheet10!$AL$627))*[1]Sheet10!$AL$631/([1]Sheet10!$AL$628*[1]Sheet10!$AL$627))*60*39.37))</f>
        <v>23.495668186831974</v>
      </c>
      <c r="BQ40" s="428" t="e">
        <f t="shared" si="5"/>
        <v>#REF!</v>
      </c>
      <c r="BS40">
        <v>25.8160501552223</v>
      </c>
      <c r="BU40">
        <v>67</v>
      </c>
      <c r="BW40">
        <f>SQRT(((2*[1]Sheet11!$G$36/2*BO40)/[1]Sheet11!$H$48*((1-([1]Sheet10!$AM$625*[1]Sheet10!$AM$627))*[1]Sheet10!$AM$631/([1]Sheet10!$AM$628*[1]Sheet10!$AM$627))*60*39.37))</f>
        <v>44.848787563748999</v>
      </c>
      <c r="BX40">
        <f>SQRT(((2*[1]Sheet11!$G$36/2*BO40)/[1]Sheet11!$H$48*((1-([1]Sheet10!$AN$625*[1]Sheet10!$AN$627))*[1]Sheet10!$AN$631/([1]Sheet10!$AN$628*[1]Sheet10!$AN$627))*60*39.37))</f>
        <v>32.544994851884255</v>
      </c>
      <c r="BZ40" t="e">
        <f t="shared" ca="1" si="1"/>
        <v>#NAME?</v>
      </c>
      <c r="CA40" t="e">
        <f ca="1">(CE40*[1]Sheet10!$AL$629/(7.08*[1]Sheet11!$H$53*(CF40)))*1000*LN(([1]Sheet11!$H$52*12)/(BP40))</f>
        <v>#NAME?</v>
      </c>
      <c r="CB40" t="e">
        <f ca="1">LN(BP40/([1]Sheet11!$G$36/2))/((LN(([1]Sheet11!$H$52*12)/([1]Sheet11!$G$36/2))/CA40)-LN(([1]Sheet11!$H$52*12)/BP40)/[1]Sheet11!$H$47)</f>
        <v>#NAME?</v>
      </c>
      <c r="CC40" t="e">
        <f ca="1">((([1]Sheet11!$H$47/CB40)-1)*LN(BP40/([1]Sheet11!$G$36/2)))</f>
        <v>#NAME?</v>
      </c>
      <c r="CD40" t="e">
        <f t="shared" ca="1" si="2"/>
        <v>#NAME?</v>
      </c>
      <c r="CE40" t="e">
        <f t="shared" ca="1" si="3"/>
        <v>#NAME?</v>
      </c>
      <c r="CF40" t="e">
        <f ca="1">CE40*[1]Sheet10!$AL$629*LN([1]Sheet11!$H$52*12/([1]Sheet11!$G$36/2))/(0.00708*[1]Sheet11!$H$47*[1]Sheet11!$H$53)</f>
        <v>#NAME?</v>
      </c>
      <c r="CH40" s="17">
        <v>0</v>
      </c>
      <c r="CI40" s="17">
        <v>0</v>
      </c>
      <c r="CK40">
        <f>SQRT(((2*[1]Sheet11!$G$36/2*AV41)/[1]Sheet11!$H$48*((1-([1]Sheet10!$AL$625*[1]Sheet10!$AL$627))*[1]Sheet10!$AL$631/([1]Sheet10!$AL$628*[1]Sheet10!$AL$627))*60*39.37))</f>
        <v>7.8624231932631377</v>
      </c>
      <c r="CM40" s="430">
        <v>0</v>
      </c>
      <c r="CN40" s="431">
        <v>4599786</v>
      </c>
      <c r="CO40" s="432">
        <v>0</v>
      </c>
      <c r="CP40" s="433">
        <v>0</v>
      </c>
      <c r="CR40" t="e">
        <f>((([1]Sheet11!$H$47/CH40)-0.8)*LN(CK40/([1]Sheet11!$G$36/2)))</f>
        <v>#DIV/0!</v>
      </c>
    </row>
    <row r="41" spans="1:96" ht="18.75" x14ac:dyDescent="0.3">
      <c r="A41" s="84" t="s">
        <v>62</v>
      </c>
      <c r="B41" s="525"/>
      <c r="C41" s="517">
        <v>4.2750000000000004</v>
      </c>
      <c r="D41" s="526" t="s">
        <v>229</v>
      </c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>
        <v>56.716142655988897</v>
      </c>
      <c r="AL41" s="9">
        <v>256.82203335230702</v>
      </c>
      <c r="AM41" s="17"/>
      <c r="AN41" s="400">
        <v>288.10946497941399</v>
      </c>
      <c r="AO41" s="17">
        <v>25.428711028881501</v>
      </c>
      <c r="AP41" s="17"/>
      <c r="AQ41" s="400">
        <v>196.03089905058599</v>
      </c>
      <c r="AR41" s="17">
        <v>10.5913148455324</v>
      </c>
      <c r="AS41" s="17"/>
      <c r="AT41" s="17">
        <v>0</v>
      </c>
      <c r="AU41" s="101">
        <v>4.2370496008576799</v>
      </c>
      <c r="AV41" s="17">
        <v>215</v>
      </c>
      <c r="AW41" s="102">
        <v>0</v>
      </c>
      <c r="AX41" s="1" t="e">
        <f>IF([1]Sheet11!$H$47&gt;=400,AT41,IF($J$137&lt;=200,((($H$119-($H$120*$H$121))/(($H$119-($H$120*$H$121*EXP(-$H$121*AW41)))))*(($J$136/($J$136+100))*$J$136))*7.5*(400/[1]Sheet11!$H$47),IF($J$137&lt;=250,((($H$119-($H$120*$H$121))/(($H$119-($H$120*$H$121*EXP(-$H$121*AW41)))))*(($J$136/($J$136+100))))*$J$136*7*(400/[1]Sheet11!$H$47),IF($J$137&lt;300,((($H$119-($H$120*$H$121))/(($H$119-($H$120*$H$121*EXP(-$H$121*AW41)))))*(($J$136/($J$136+100))))*$J$136*8*(400/[1]Sheet11!$H$47),IF(AND([1]Sheet11!$H$47&lt;=50,$J$137&gt;=300),((($H$119-($H$120*$H$121))/(($H$119-($H$120*$H$121*EXP(-$H$121*AW41)))))*(($J$136/($J$136+100))*$J$136))*(400/[1]Sheet11!$H$47),IF(AND([1]Sheet11!$H$47&gt;50,[1]Sheet11!$H$47&lt;=200,$J$137&gt;=300),((($H$119-($H$120*$H$121))/(($H$119-($H$120*$H$121*EXP(-$H$121*AW41)))))*(($J$136/($J$136+100))*$J$136))*3.5*(400/[1]Sheet11!$H$47))))))+2)</f>
        <v>#VALUE!</v>
      </c>
      <c r="AY41" s="1" t="e">
        <f t="shared" si="4"/>
        <v>#VALUE!</v>
      </c>
      <c r="AZ41" t="e">
        <f>IF([1]Sheet11!$H$47=400,((((AW41/AV41)/$G$129)*$G$129*60*[1]Sheet10!$AL$629*[1]Sheet11!$H$54/(($G$129*(AX41/14.7))))*1000),((((AW41/AV41)/$G$129)*$G$129*60*[1]Sheet10!$AL$629*[1]Sheet11!$H$54/(($G$129*(AX41*(400/[1]Sheet11!$H$47)/14.7))))*1000))</f>
        <v>#VALUE!</v>
      </c>
      <c r="BA41" t="e">
        <f>AZ41/[1]Sheet11!$H$47</f>
        <v>#VALUE!</v>
      </c>
      <c r="BB41" t="e">
        <f>IF($E$224&lt;=1,ABS(1/(([1]Sheet11!$H$54/AZ41)-(([1]Sheet11!$H$54)/[1]Sheet11!$H$47))),($E$224/(([1]Sheet11!$H$54/AZ41)-(([1]Sheet11!$H$54-BD41)/[1]Sheet11!$H$47))))</f>
        <v>#VALUE!</v>
      </c>
      <c r="BC41" t="e">
        <f>(BB41/[1]Sheet11!$H$47)</f>
        <v>#VALUE!</v>
      </c>
      <c r="BD41" t="e">
        <f>IF([1]Sheet11!$H$47=400,((AX41*4389120*($D$146^(1+$J$80))/($J$81*($D$150^$J$80)))*(1.26/(3+1/$J$80))^$J$80*AW41/$AW$70),((AX41*(400/[1]Sheet11!$H$47)*4389120*($D$146^(1+$J$80)))/($J$81*($D$150^$J$80)))*(1.3/(3+1/$J$80))^$J$80*AW41/$AW$70)</f>
        <v>#VALUE!</v>
      </c>
      <c r="BE41" t="e">
        <f>IF([1]Sheet11!$H$47=400,((AX41/14.7)*([1]Sheet11!$H$47/1000)*$G$129)/((AW41/'Oil-Based Mud 1'!AV41*60)*[1]Sheet10!$AL$629*([1]Sheet11!$H$54)),((AX41*(400/[1]Sheet11!$H$47)/14.7)*([1]Sheet11!$H$47/1000)*$G$129)/((AW41/'Oil-Based Mud 1'!AV41*60)*[1]Sheet10!$AL$629*([1]Sheet11!$H$54)))+1.6</f>
        <v>#VALUE!</v>
      </c>
      <c r="BF41" t="e">
        <f t="shared" si="0"/>
        <v>#DIV/0!</v>
      </c>
      <c r="BH41">
        <v>0.44204478425557098</v>
      </c>
      <c r="BJ41">
        <f>IF(AV41=0,"0",SQRT(((2*[1]Sheet11!$G$36/2*AV41)/[1]Sheet11!$H$48*((1-([1]Sheet10!$AL$625*[1]Sheet10!$AL$627))*[1]Sheet10!$AL$631/([1]Sheet10!$AL$628*[1]Sheet10!$AL$627))*60*39.37+([1]Sheet11!$G$36/2)^2)))</f>
        <v>8.415325214747325</v>
      </c>
      <c r="BM41" s="429">
        <f>((([1]Sheet11!$H$47/BU41)-1)*LN(BP41/([1]Sheet11!$G$36/2)))</f>
        <v>4.0594982674930948</v>
      </c>
      <c r="BO41" s="17">
        <v>1870</v>
      </c>
      <c r="BP41">
        <f>SQRT(((2*[1]Sheet11!$G$36/2*BO41)/[1]Sheet11!$H$48*((1-([1]Sheet10!$AL$625*[1]Sheet10!$AL$627))*[1]Sheet10!$AL$631/([1]Sheet10!$AL$628*[1]Sheet10!$AL$627))*60*39.37))</f>
        <v>23.187716890612695</v>
      </c>
      <c r="BQ41" s="428" t="e">
        <f t="shared" si="5"/>
        <v>#REF!</v>
      </c>
      <c r="BS41">
        <v>26.8572061037964</v>
      </c>
      <c r="BU41">
        <v>67</v>
      </c>
      <c r="BW41">
        <f>SQRT(((2*[1]Sheet11!$G$36/2*BO41)/[1]Sheet11!$H$48*((1-([1]Sheet10!$AM$625*[1]Sheet10!$AM$627))*[1]Sheet10!$AM$631/([1]Sheet10!$AM$628*[1]Sheet10!$AM$627))*60*39.37))</f>
        <v>44.260966772516511</v>
      </c>
      <c r="BX41">
        <f>SQRT(((2*[1]Sheet11!$G$36/2*BO41)/[1]Sheet11!$H$48*((1-([1]Sheet10!$AN$625*[1]Sheet10!$AN$627))*[1]Sheet10!$AN$631/([1]Sheet10!$AN$628*[1]Sheet10!$AN$627))*60*39.37))</f>
        <v>32.118436506303581</v>
      </c>
      <c r="BZ41" t="e">
        <f t="shared" ca="1" si="1"/>
        <v>#NAME?</v>
      </c>
      <c r="CA41" t="e">
        <f ca="1">(CE41*[1]Sheet10!$AL$629/(7.08*[1]Sheet11!$H$53*(CF41)))*1000*LN(([1]Sheet11!$H$52*12)/(BP41))</f>
        <v>#NAME?</v>
      </c>
      <c r="CB41" t="e">
        <f ca="1">LN(BP41/([1]Sheet11!$G$36/2))/((LN(([1]Sheet11!$H$52*12)/([1]Sheet11!$G$36/2))/CA41)-LN(([1]Sheet11!$H$52*12)/BP41)/[1]Sheet11!$H$47)</f>
        <v>#NAME?</v>
      </c>
      <c r="CC41" t="e">
        <f ca="1">((([1]Sheet11!$H$47/CB41)-1)*LN(BP41/([1]Sheet11!$G$36/2)))</f>
        <v>#NAME?</v>
      </c>
      <c r="CD41" t="e">
        <f t="shared" ca="1" si="2"/>
        <v>#NAME?</v>
      </c>
      <c r="CE41" t="e">
        <f t="shared" ca="1" si="3"/>
        <v>#NAME?</v>
      </c>
      <c r="CF41" t="e">
        <f ca="1">CE41*[1]Sheet10!$AL$629*LN([1]Sheet11!$H$52*12/([1]Sheet11!$G$36/2))/(0.00708*[1]Sheet11!$H$47*[1]Sheet11!$H$53)</f>
        <v>#NAME?</v>
      </c>
      <c r="CH41" s="17">
        <v>0</v>
      </c>
      <c r="CI41" s="17">
        <v>0</v>
      </c>
      <c r="CK41">
        <f>SQRT(((2*[1]Sheet11!$G$36/2*AV42)/[1]Sheet11!$H$48*((1-([1]Sheet10!$AL$625*[1]Sheet10!$AL$627))*[1]Sheet10!$AL$631/([1]Sheet10!$AL$628*[1]Sheet10!$AL$627))*60*39.37))</f>
        <v>8.0431921684902363</v>
      </c>
      <c r="CM41" s="430">
        <v>0</v>
      </c>
      <c r="CN41" s="431">
        <v>4599786</v>
      </c>
      <c r="CO41" s="432">
        <v>0</v>
      </c>
      <c r="CP41" s="433">
        <v>0</v>
      </c>
      <c r="CR41" t="e">
        <f>((([1]Sheet11!$H$47/CH41)-0.8)*LN(CK41/([1]Sheet11!$G$36/2)))</f>
        <v>#DIV/0!</v>
      </c>
    </row>
    <row r="42" spans="1:96" ht="15.75" x14ac:dyDescent="0.25">
      <c r="A42" s="107" t="s">
        <v>60</v>
      </c>
      <c r="B42" s="516"/>
      <c r="C42" s="527">
        <v>3.5</v>
      </c>
      <c r="D42" s="526" t="s">
        <v>229</v>
      </c>
      <c r="E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>
        <v>56.070587568892499</v>
      </c>
      <c r="AL42" s="9">
        <v>257.46758843940302</v>
      </c>
      <c r="AM42" s="17"/>
      <c r="AN42" s="400">
        <v>288.674646660463</v>
      </c>
      <c r="AO42" s="17">
        <v>24.863529347832301</v>
      </c>
      <c r="AP42" s="17"/>
      <c r="AQ42" s="400">
        <v>196.26760500152201</v>
      </c>
      <c r="AR42" s="17">
        <v>10.3546088945966</v>
      </c>
      <c r="AS42" s="17"/>
      <c r="AT42" s="17">
        <v>0</v>
      </c>
      <c r="AU42" s="101">
        <v>4.3418827924665999</v>
      </c>
      <c r="AV42" s="17">
        <v>225</v>
      </c>
      <c r="AW42" s="102">
        <v>0</v>
      </c>
      <c r="AX42" s="1" t="e">
        <f>IF([1]Sheet11!$H$47&gt;=400,AT42,IF($J$137&lt;=200,((($H$119-($H$120*$H$121))/(($H$119-($H$120*$H$121*EXP(-$H$121*AW42)))))*(($J$136/($J$136+100))*$J$136))*7.5*(400/[1]Sheet11!$H$47),IF($J$137&lt;=250,((($H$119-($H$120*$H$121))/(($H$119-($H$120*$H$121*EXP(-$H$121*AW42)))))*(($J$136/($J$136+100))))*$J$136*7*(400/[1]Sheet11!$H$47),IF($J$137&lt;300,((($H$119-($H$120*$H$121))/(($H$119-($H$120*$H$121*EXP(-$H$121*AW42)))))*(($J$136/($J$136+100))))*$J$136*8*(400/[1]Sheet11!$H$47),IF(AND([1]Sheet11!$H$47&lt;=50,$J$137&gt;=300),((($H$119-($H$120*$H$121))/(($H$119-($H$120*$H$121*EXP(-$H$121*AW42)))))*(($J$136/($J$136+100))*$J$136))*(400/[1]Sheet11!$H$47),IF(AND([1]Sheet11!$H$47&gt;50,[1]Sheet11!$H$47&lt;=200,$J$137&gt;=300),((($H$119-($H$120*$H$121))/(($H$119-($H$120*$H$121*EXP(-$H$121*AW42)))))*(($J$136/($J$136+100))*$J$136))*3.5*(400/[1]Sheet11!$H$47))))))+2)</f>
        <v>#VALUE!</v>
      </c>
      <c r="AY42" s="1" t="e">
        <f t="shared" si="4"/>
        <v>#VALUE!</v>
      </c>
      <c r="AZ42" t="e">
        <f>IF([1]Sheet11!$H$47=400,((((AW42/AV42)/$G$129)*$G$129*60*[1]Sheet10!$AL$629*[1]Sheet11!$H$54/(($G$129*(AX42/14.7))))*1000),((((AW42/AV42)/$G$129)*$G$129*60*[1]Sheet10!$AL$629*[1]Sheet11!$H$54/(($G$129*(AX42*(400/[1]Sheet11!$H$47)/14.7))))*1000))</f>
        <v>#VALUE!</v>
      </c>
      <c r="BA42" t="e">
        <f>AZ42/[1]Sheet11!$H$47</f>
        <v>#VALUE!</v>
      </c>
      <c r="BB42" t="e">
        <f>IF($E$224&lt;=1,ABS(1/(([1]Sheet11!$H$54/AZ42)-(([1]Sheet11!$H$54)/[1]Sheet11!$H$47))),($E$224/(([1]Sheet11!$H$54/AZ42)-(([1]Sheet11!$H$54-BD42)/[1]Sheet11!$H$47))))</f>
        <v>#VALUE!</v>
      </c>
      <c r="BC42" t="e">
        <f>(BB42/[1]Sheet11!$H$47)</f>
        <v>#VALUE!</v>
      </c>
      <c r="BD42" t="e">
        <f>IF([1]Sheet11!$H$47=400,((AX42*4389120*($D$146^(1+$J$80))/($J$81*($D$150^$J$80)))*(1.26/(3+1/$J$80))^$J$80*AW42/$AW$70),((AX42*(400/[1]Sheet11!$H$47)*4389120*($D$146^(1+$J$80)))/($J$81*($D$150^$J$80)))*(1.3/(3+1/$J$80))^$J$80*AW42/$AW$70)</f>
        <v>#VALUE!</v>
      </c>
      <c r="BE42" t="e">
        <f>IF([1]Sheet11!$H$47=400,((AX42/14.7)*([1]Sheet11!$H$47/1000)*$G$129)/((AW42/'Oil-Based Mud 1'!AV42*60)*[1]Sheet10!$AL$629*([1]Sheet11!$H$54)),((AX42*(400/[1]Sheet11!$H$47)/14.7)*([1]Sheet11!$H$47/1000)*$G$129)/((AW42/'Oil-Based Mud 1'!AV42*60)*[1]Sheet10!$AL$629*([1]Sheet11!$H$54)))+1.6</f>
        <v>#VALUE!</v>
      </c>
      <c r="BF42" t="e">
        <f t="shared" si="0"/>
        <v>#DIV/0!</v>
      </c>
      <c r="BH42">
        <v>0.44002758947783199</v>
      </c>
      <c r="BJ42">
        <f>IF(AV42=0,"0",SQRT(((2*[1]Sheet11!$G$36/2*AV42)/[1]Sheet11!$H$48*((1-([1]Sheet10!$AL$625*[1]Sheet10!$AL$627))*[1]Sheet10!$AL$631/([1]Sheet10!$AL$628*[1]Sheet10!$AL$627))*60*39.37+([1]Sheet11!$G$36/2)^2)))</f>
        <v>8.584459229285363</v>
      </c>
      <c r="BM42" s="429">
        <f>((([1]Sheet11!$H$47/BU42)-1)*LN(BP42/([1]Sheet11!$G$36/2)))</f>
        <v>4.0325985909226008</v>
      </c>
      <c r="BO42" s="17">
        <v>1820</v>
      </c>
      <c r="BP42">
        <f>SQRT(((2*[1]Sheet11!$G$36/2*BO42)/[1]Sheet11!$H$48*((1-([1]Sheet10!$AL$625*[1]Sheet10!$AL$627))*[1]Sheet10!$AL$631/([1]Sheet10!$AL$628*[1]Sheet10!$AL$627))*60*39.37))</f>
        <v>22.875620333724338</v>
      </c>
      <c r="BQ42" s="428" t="e">
        <f t="shared" si="5"/>
        <v>#REF!</v>
      </c>
      <c r="BS42">
        <v>28.130508403950799</v>
      </c>
      <c r="BU42">
        <v>67</v>
      </c>
      <c r="BW42">
        <f>SQRT(((2*[1]Sheet11!$G$36/2*BO42)/[1]Sheet11!$H$48*((1-([1]Sheet10!$AM$625*[1]Sheet10!$AM$627))*[1]Sheet10!$AM$631/([1]Sheet10!$AM$628*[1]Sheet10!$AM$627))*60*39.37))</f>
        <v>43.665233462530971</v>
      </c>
      <c r="BX42">
        <f>SQRT(((2*[1]Sheet11!$G$36/2*BO42)/[1]Sheet11!$H$48*((1-([1]Sheet10!$AN$625*[1]Sheet10!$AN$627))*[1]Sheet10!$AN$631/([1]Sheet10!$AN$628*[1]Sheet10!$AN$627))*60*39.37))</f>
        <v>31.68613635818884</v>
      </c>
      <c r="BZ42" t="e">
        <f t="shared" ca="1" si="1"/>
        <v>#NAME?</v>
      </c>
      <c r="CA42" t="e">
        <f ca="1">(CE42*[1]Sheet10!$AL$629/(7.08*[1]Sheet11!$H$53*(CF42)))*1000*LN(([1]Sheet11!$H$52*12)/(BP42))</f>
        <v>#NAME?</v>
      </c>
      <c r="CB42" t="e">
        <f ca="1">LN(BP42/([1]Sheet11!$G$36/2))/((LN(([1]Sheet11!$H$52*12)/([1]Sheet11!$G$36/2))/CA42)-LN(([1]Sheet11!$H$52*12)/BP42)/[1]Sheet11!$H$47)</f>
        <v>#NAME?</v>
      </c>
      <c r="CC42" t="e">
        <f ca="1">((([1]Sheet11!$H$47/CB42)-1)*LN(BP42/([1]Sheet11!$G$36/2)))</f>
        <v>#NAME?</v>
      </c>
      <c r="CD42" t="e">
        <f t="shared" ca="1" si="2"/>
        <v>#NAME?</v>
      </c>
      <c r="CE42" t="e">
        <f t="shared" ca="1" si="3"/>
        <v>#NAME?</v>
      </c>
      <c r="CF42" t="e">
        <f ca="1">CE42*[1]Sheet10!$AL$629*LN([1]Sheet11!$H$52*12/([1]Sheet11!$G$36/2))/(0.00708*[1]Sheet11!$H$47*[1]Sheet11!$H$53)</f>
        <v>#NAME?</v>
      </c>
      <c r="CH42" s="17">
        <v>0</v>
      </c>
      <c r="CI42" s="17">
        <v>0</v>
      </c>
      <c r="CK42">
        <f>SQRT(((2*[1]Sheet11!$G$36/2*AV43)/[1]Sheet11!$H$48*((1-([1]Sheet10!$AL$625*[1]Sheet10!$AL$627))*[1]Sheet10!$AL$631/([1]Sheet10!$AL$628*[1]Sheet10!$AL$627))*60*39.37))</f>
        <v>8.5626319334165224</v>
      </c>
      <c r="CM42" s="430">
        <v>0</v>
      </c>
      <c r="CN42" s="431">
        <v>4599786</v>
      </c>
      <c r="CO42" s="432">
        <v>0</v>
      </c>
      <c r="CP42" s="433">
        <v>0</v>
      </c>
      <c r="CR42" t="e">
        <f>((([1]Sheet11!$H$47/CH42)-0.8)*LN(CK42/([1]Sheet11!$G$36/2)))</f>
        <v>#DIV/0!</v>
      </c>
    </row>
    <row r="43" spans="1:96" ht="18.75" x14ac:dyDescent="0.3">
      <c r="A43" s="84" t="s">
        <v>62</v>
      </c>
      <c r="B43" s="525"/>
      <c r="C43" s="527">
        <v>2.76</v>
      </c>
      <c r="D43" s="526" t="s">
        <v>229</v>
      </c>
      <c r="E43" s="17"/>
      <c r="G43" s="17"/>
      <c r="H43" s="17"/>
      <c r="I43" s="17"/>
      <c r="J43" s="17"/>
      <c r="K43" s="17"/>
      <c r="L43" s="17"/>
      <c r="M43" s="423" t="s">
        <v>106</v>
      </c>
      <c r="N43" s="287"/>
      <c r="O43" s="528"/>
      <c r="P43" s="17"/>
      <c r="Q43" s="17"/>
      <c r="R43" s="17"/>
      <c r="S43" s="17"/>
      <c r="T43" s="17"/>
      <c r="U43" s="17"/>
      <c r="V43" s="17"/>
      <c r="W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>
        <v>54.3775583665944</v>
      </c>
      <c r="AL43" s="9">
        <v>259.16061764170098</v>
      </c>
      <c r="AM43" s="17"/>
      <c r="AN43" s="400">
        <v>290.16791342656597</v>
      </c>
      <c r="AO43" s="17">
        <v>23.370262581729801</v>
      </c>
      <c r="AP43" s="17"/>
      <c r="AQ43" s="400">
        <v>196.892586666716</v>
      </c>
      <c r="AR43" s="17">
        <v>9.7296272294024604</v>
      </c>
      <c r="AS43" s="17"/>
      <c r="AT43" s="17">
        <v>0</v>
      </c>
      <c r="AU43" s="101">
        <v>4.6431907386544902</v>
      </c>
      <c r="AV43" s="17">
        <v>255</v>
      </c>
      <c r="AW43" s="102">
        <v>0</v>
      </c>
      <c r="AX43" s="1" t="e">
        <f>IF([1]Sheet11!$H$47&gt;=400,AT43,IF($J$137&lt;=200,((($H$119-($H$120*$H$121))/(($H$119-($H$120*$H$121*EXP(-$H$121*AW43)))))*(($J$136/($J$136+100))*$J$136))*7.5*(400/[1]Sheet11!$H$47),IF($J$137&lt;=250,((($H$119-($H$120*$H$121))/(($H$119-($H$120*$H$121*EXP(-$H$121*AW43)))))*(($J$136/($J$136+100))))*$J$136*7*(400/[1]Sheet11!$H$47),IF($J$137&lt;300,((($H$119-($H$120*$H$121))/(($H$119-($H$120*$H$121*EXP(-$H$121*AW43)))))*(($J$136/($J$136+100))))*$J$136*8*(400/[1]Sheet11!$H$47),IF(AND([1]Sheet11!$H$47&lt;=50,$J$137&gt;=300),((($H$119-($H$120*$H$121))/(($H$119-($H$120*$H$121*EXP(-$H$121*AW43)))))*(($J$136/($J$136+100))*$J$136))*(400/[1]Sheet11!$H$47),IF(AND([1]Sheet11!$H$47&gt;50,[1]Sheet11!$H$47&lt;=200,$J$137&gt;=300),((($H$119-($H$120*$H$121))/(($H$119-($H$120*$H$121*EXP(-$H$121*AW43)))))*(($J$136/($J$136+100))*$J$136))*3.5*(400/[1]Sheet11!$H$47))))))+2)</f>
        <v>#VALUE!</v>
      </c>
      <c r="AY43" s="1" t="e">
        <f t="shared" si="4"/>
        <v>#VALUE!</v>
      </c>
      <c r="AZ43" t="e">
        <f>IF([1]Sheet11!$H$47=400,((((AW43/AV43)/$G$129)*$G$129*60*[1]Sheet10!$AL$629*[1]Sheet11!$H$54/(($G$129*(AX43/14.7))))*1000),((((AW43/AV43)/$G$129)*$G$129*60*[1]Sheet10!$AL$629*[1]Sheet11!$H$54/(($G$129*(AX43*(400/[1]Sheet11!$H$47)/14.7))))*1000))</f>
        <v>#VALUE!</v>
      </c>
      <c r="BA43" t="e">
        <f>AZ43/[1]Sheet11!$H$47</f>
        <v>#VALUE!</v>
      </c>
      <c r="BB43" t="e">
        <f>IF($E$224&lt;=1,ABS(1/(([1]Sheet11!$H$54/AZ43)-(([1]Sheet11!$H$54)/[1]Sheet11!$H$47))),($E$224/(([1]Sheet11!$H$54/AZ43)-(([1]Sheet11!$H$54-BD43)/[1]Sheet11!$H$47))))</f>
        <v>#VALUE!</v>
      </c>
      <c r="BC43" t="e">
        <f>(BB43/[1]Sheet11!$H$47)</f>
        <v>#VALUE!</v>
      </c>
      <c r="BD43" t="e">
        <f>IF([1]Sheet11!$H$47=400,((AX43*4389120*($D$146^(1+$J$80))/($J$81*($D$150^$J$80)))*(1.26/(3+1/$J$80))^$J$80*AW43/$AW$70),((AX43*(400/[1]Sheet11!$H$47)*4389120*($D$146^(1+$J$80)))/($J$81*($D$150^$J$80)))*(1.3/(3+1/$J$80))^$J$80*AW43/$AW$70)</f>
        <v>#VALUE!</v>
      </c>
      <c r="BE43" t="e">
        <f>IF([1]Sheet11!$H$47=400,((AX43/14.7)*([1]Sheet11!$H$47/1000)*$G$129)/((AW43/'Oil-Based Mud 1'!AV43*60)*[1]Sheet10!$AL$629*([1]Sheet11!$H$54)),((AX43*(400/[1]Sheet11!$H$47)/14.7)*([1]Sheet11!$H$47/1000)*$G$129)/((AW43/'Oil-Based Mud 1'!AV43*60)*[1]Sheet10!$AL$629*([1]Sheet11!$H$54)))+1.6</f>
        <v>#VALUE!</v>
      </c>
      <c r="BF43" t="e">
        <f t="shared" si="0"/>
        <v>#DIV/0!</v>
      </c>
      <c r="BH43">
        <v>0.43421171943426301</v>
      </c>
      <c r="BJ43">
        <f>IF(AV43=0,"0",SQRT(((2*[1]Sheet11!$G$36/2*AV43)/[1]Sheet11!$H$48*((1-([1]Sheet10!$AL$625*[1]Sheet10!$AL$627))*[1]Sheet10!$AL$631/([1]Sheet10!$AL$628*[1]Sheet10!$AL$627))*60*39.37+([1]Sheet11!$G$36/2)^2)))</f>
        <v>9.0729634424020666</v>
      </c>
      <c r="BM43" s="429">
        <f>((([1]Sheet11!$H$47/BU43)-1)*LN(BP43/([1]Sheet11!$G$36/2)))</f>
        <v>4.0049495241398061</v>
      </c>
      <c r="BO43" s="17">
        <v>1770</v>
      </c>
      <c r="BP43">
        <f>SQRT(((2*[1]Sheet11!$G$36/2*BO43)/[1]Sheet11!$H$48*((1-([1]Sheet10!$AL$625*[1]Sheet10!$AL$627))*[1]Sheet10!$AL$631/([1]Sheet10!$AL$628*[1]Sheet10!$AL$627))*60*39.37))</f>
        <v>22.55920647332702</v>
      </c>
      <c r="BQ43" s="428" t="e">
        <f t="shared" si="5"/>
        <v>#REF!</v>
      </c>
      <c r="BS43">
        <v>28.576170593592501</v>
      </c>
      <c r="BU43">
        <v>67</v>
      </c>
      <c r="BW43">
        <f>SQRT(((2*[1]Sheet11!$G$36/2*BO43)/[1]Sheet11!$H$48*((1-([1]Sheet10!$AM$625*[1]Sheet10!$AM$627))*[1]Sheet10!$AM$631/([1]Sheet10!$AM$628*[1]Sheet10!$AM$627))*60*39.37))</f>
        <v>43.061259236544146</v>
      </c>
      <c r="BX43">
        <f>SQRT(((2*[1]Sheet11!$G$36/2*BO43)/[1]Sheet11!$H$48*((1-([1]Sheet10!$AN$625*[1]Sheet10!$AN$627))*[1]Sheet10!$AN$631/([1]Sheet10!$AN$628*[1]Sheet10!$AN$627))*60*39.37))</f>
        <v>31.247856102619565</v>
      </c>
      <c r="BZ43" t="e">
        <f t="shared" ca="1" si="1"/>
        <v>#NAME?</v>
      </c>
      <c r="CA43" t="e">
        <f ca="1">(CE43*[1]Sheet10!$AL$629/(7.08*[1]Sheet11!$H$53*(CF43)))*1000*LN(([1]Sheet11!$H$52*12)/(BP43))</f>
        <v>#NAME?</v>
      </c>
      <c r="CB43" t="e">
        <f ca="1">LN(BP43/([1]Sheet11!$G$36/2))/((LN(([1]Sheet11!$H$52*12)/([1]Sheet11!$G$36/2))/CA43)-LN(([1]Sheet11!$H$52*12)/BP43)/[1]Sheet11!$H$47)</f>
        <v>#NAME?</v>
      </c>
      <c r="CC43" t="e">
        <f ca="1">((([1]Sheet11!$H$47/CB43)-1)*LN(BP43/([1]Sheet11!$G$36/2)))</f>
        <v>#NAME?</v>
      </c>
      <c r="CD43" t="e">
        <f t="shared" ca="1" si="2"/>
        <v>#NAME?</v>
      </c>
      <c r="CE43" t="e">
        <f t="shared" ca="1" si="3"/>
        <v>#NAME?</v>
      </c>
      <c r="CF43" t="e">
        <f ca="1">CE43*[1]Sheet10!$AL$629*LN([1]Sheet11!$H$52*12/([1]Sheet11!$G$36/2))/(0.00708*[1]Sheet11!$H$47*[1]Sheet11!$H$53)</f>
        <v>#NAME?</v>
      </c>
      <c r="CH43" s="17">
        <v>0</v>
      </c>
      <c r="CI43" s="17">
        <v>0</v>
      </c>
      <c r="CK43">
        <f>SQRT(((2*[1]Sheet11!$G$36/2*AV44)/[1]Sheet11!$H$48*((1-([1]Sheet10!$AL$625*[1]Sheet10!$AL$627))*[1]Sheet10!$AL$631/([1]Sheet10!$AL$628*[1]Sheet10!$AL$627))*60*39.37))</f>
        <v>9.0523141237512341</v>
      </c>
      <c r="CM43" s="430">
        <v>0</v>
      </c>
      <c r="CN43" s="431">
        <v>4599786</v>
      </c>
      <c r="CO43" s="432">
        <v>0</v>
      </c>
      <c r="CP43" s="433">
        <v>0</v>
      </c>
      <c r="CR43" t="e">
        <f>((([1]Sheet11!$H$47/CH43)-0.8)*LN(CK43/([1]Sheet11!$G$36/2)))</f>
        <v>#DIV/0!</v>
      </c>
    </row>
    <row r="44" spans="1:96" ht="15" x14ac:dyDescent="0.25">
      <c r="D44" s="17"/>
      <c r="E44" s="17"/>
      <c r="F44" s="17"/>
      <c r="G44" s="17"/>
      <c r="H44" s="17"/>
      <c r="I44" s="17"/>
      <c r="J44" s="17"/>
      <c r="K44" s="17"/>
      <c r="L44" s="17"/>
      <c r="M44" s="434" t="s">
        <v>107</v>
      </c>
      <c r="N44" s="443"/>
      <c r="O44" s="529">
        <v>10</v>
      </c>
      <c r="P44" s="17"/>
      <c r="Q44" s="17"/>
      <c r="R44" s="17"/>
      <c r="S44" s="17"/>
      <c r="T44" s="17"/>
      <c r="U44" s="17"/>
      <c r="V44" s="17"/>
      <c r="W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>
        <v>52.973809572024301</v>
      </c>
      <c r="AL44" s="9">
        <v>260.56436643627097</v>
      </c>
      <c r="AM44" s="17"/>
      <c r="AN44" s="400">
        <v>291.420867246672</v>
      </c>
      <c r="AO44" s="17">
        <v>22.117308761623502</v>
      </c>
      <c r="AP44" s="17"/>
      <c r="AQ44" s="400">
        <v>197.41654171596599</v>
      </c>
      <c r="AR44" s="17">
        <v>9.2056721801527193</v>
      </c>
      <c r="AS44" s="17"/>
      <c r="AT44" s="17">
        <v>0</v>
      </c>
      <c r="AU44" s="101">
        <v>4.9273197189333002</v>
      </c>
      <c r="AV44" s="17">
        <v>285</v>
      </c>
      <c r="AW44" s="102">
        <v>0</v>
      </c>
      <c r="AX44" s="1" t="e">
        <f>IF([1]Sheet11!$H$47&gt;=400,AT44,IF($J$137&lt;=200,((($H$119-($H$120*$H$121))/(($H$119-($H$120*$H$121*EXP(-$H$121*AW44)))))*(($J$136/($J$136+100))*$J$136))*7.5*(400/[1]Sheet11!$H$47),IF($J$137&lt;=250,((($H$119-($H$120*$H$121))/(($H$119-($H$120*$H$121*EXP(-$H$121*AW44)))))*(($J$136/($J$136+100))))*$J$136*7*(400/[1]Sheet11!$H$47),IF($J$137&lt;300,((($H$119-($H$120*$H$121))/(($H$119-($H$120*$H$121*EXP(-$H$121*AW44)))))*(($J$136/($J$136+100))))*$J$136*8*(400/[1]Sheet11!$H$47),IF(AND([1]Sheet11!$H$47&lt;=50,$J$137&gt;=300),((($H$119-($H$120*$H$121))/(($H$119-($H$120*$H$121*EXP(-$H$121*AW44)))))*(($J$136/($J$136+100))*$J$136))*(400/[1]Sheet11!$H$47),IF(AND([1]Sheet11!$H$47&gt;50,[1]Sheet11!$H$47&lt;=200,$J$137&gt;=300),((($H$119-($H$120*$H$121))/(($H$119-($H$120*$H$121*EXP(-$H$121*AW44)))))*(($J$136/($J$136+100))*$J$136))*3.5*(400/[1]Sheet11!$H$47))))))+2)</f>
        <v>#VALUE!</v>
      </c>
      <c r="AY44" s="1" t="e">
        <f t="shared" si="4"/>
        <v>#VALUE!</v>
      </c>
      <c r="AZ44" t="e">
        <f>IF([1]Sheet11!$H$47=400,((((AW44/AV44)/$G$129)*$G$129*60*[1]Sheet10!$AL$629*[1]Sheet11!$H$54/(($G$129*(AX44/14.7))))*1000),((((AW44/AV44)/$G$129)*$G$129*60*[1]Sheet10!$AL$629*[1]Sheet11!$H$54/(($G$129*(AX44*(400/[1]Sheet11!$H$47)/14.7))))*1000))</f>
        <v>#VALUE!</v>
      </c>
      <c r="BA44" t="e">
        <f>AZ44/[1]Sheet11!$H$47</f>
        <v>#VALUE!</v>
      </c>
      <c r="BB44" t="e">
        <f>IF($E$224&lt;=1,ABS(1/(([1]Sheet11!$H$54/AZ44)-(([1]Sheet11!$H$54)/[1]Sheet11!$H$47))),($E$224/(([1]Sheet11!$H$54/AZ44)-(([1]Sheet11!$H$54-BD44)/[1]Sheet11!$H$47))))</f>
        <v>#VALUE!</v>
      </c>
      <c r="BC44" t="e">
        <f>(BB44/[1]Sheet11!$H$47)</f>
        <v>#VALUE!</v>
      </c>
      <c r="BD44" t="e">
        <f>IF([1]Sheet11!$H$47=400,((AX44*4389120*($D$146^(1+$J$80))/($J$81*($D$150^$J$80)))*(1.26/(3+1/$J$80))^$J$80*AW44/$AW$70),((AX44*(400/[1]Sheet11!$H$47)*4389120*($D$146^(1+$J$80)))/($J$81*($D$150^$J$80)))*(1.3/(3+1/$J$80))^$J$80*AW44/$AW$70)</f>
        <v>#VALUE!</v>
      </c>
      <c r="BE44" t="e">
        <f>IF([1]Sheet11!$H$47=400,((AX44/14.7)*([1]Sheet11!$H$47/1000)*$G$129)/((AW44/'Oil-Based Mud 1'!AV44*60)*[1]Sheet10!$AL$629*([1]Sheet11!$H$54)),((AX44*(400/[1]Sheet11!$H$47)/14.7)*([1]Sheet11!$H$47/1000)*$G$129)/((AW44/'Oil-Based Mud 1'!AV44*60)*[1]Sheet10!$AL$629*([1]Sheet11!$H$54)))+1.6</f>
        <v>#VALUE!</v>
      </c>
      <c r="BF44" t="e">
        <f t="shared" si="0"/>
        <v>#DIV/0!</v>
      </c>
      <c r="BH44">
        <v>0.42873857381067598</v>
      </c>
      <c r="BJ44">
        <f>IF(AV44=0,"0",SQRT(((2*[1]Sheet11!$G$36/2*AV44)/[1]Sheet11!$H$48*((1-([1]Sheet10!$AL$625*[1]Sheet10!$AL$627))*[1]Sheet10!$AL$631/([1]Sheet10!$AL$628*[1]Sheet10!$AL$627))*60*39.37+([1]Sheet11!$G$36/2)^2)))</f>
        <v>9.5364768649153682</v>
      </c>
      <c r="BM44" s="429">
        <f>((([1]Sheet11!$H$47/BU44)-1)*LN(BP44/([1]Sheet11!$G$36/2)))</f>
        <v>3.9765081135716711</v>
      </c>
      <c r="BO44" s="17">
        <v>1720</v>
      </c>
      <c r="BP44">
        <f>SQRT(((2*[1]Sheet11!$G$36/2*BO44)/[1]Sheet11!$H$48*((1-([1]Sheet10!$AL$625*[1]Sheet10!$AL$627))*[1]Sheet10!$AL$631/([1]Sheet10!$AL$628*[1]Sheet10!$AL$627))*60*39.37))</f>
        <v>22.238291026059013</v>
      </c>
      <c r="BQ44" s="428" t="e">
        <f t="shared" si="5"/>
        <v>#REF!</v>
      </c>
      <c r="BS44">
        <v>29.060710609075901</v>
      </c>
      <c r="BU44">
        <v>67</v>
      </c>
      <c r="BW44">
        <f>SQRT(((2*[1]Sheet11!$G$36/2*BO44)/[1]Sheet11!$H$48*((1-([1]Sheet10!$AM$625*[1]Sheet10!$AM$627))*[1]Sheet10!$AM$631/([1]Sheet10!$AM$628*[1]Sheet10!$AM$627))*60*39.37))</f>
        <v>42.448692332466287</v>
      </c>
      <c r="BX44">
        <f>SQRT(((2*[1]Sheet11!$G$36/2*BO44)/[1]Sheet11!$H$48*((1-([1]Sheet10!$AN$625*[1]Sheet10!$AN$627))*[1]Sheet10!$AN$631/([1]Sheet10!$AN$628*[1]Sheet10!$AN$627))*60*39.37))</f>
        <v>30.803340479732075</v>
      </c>
      <c r="BZ44" t="e">
        <f t="shared" ca="1" si="1"/>
        <v>#NAME?</v>
      </c>
      <c r="CA44" t="e">
        <f ca="1">(CE44*[1]Sheet10!$AL$629/(7.08*[1]Sheet11!$H$53*(CF44)))*1000*LN(([1]Sheet11!$H$52*12)/(BP44))</f>
        <v>#NAME?</v>
      </c>
      <c r="CB44" t="e">
        <f ca="1">LN(BP44/([1]Sheet11!$G$36/2))/((LN(([1]Sheet11!$H$52*12)/([1]Sheet11!$G$36/2))/CA44)-LN(([1]Sheet11!$H$52*12)/BP44)/[1]Sheet11!$H$47)</f>
        <v>#NAME?</v>
      </c>
      <c r="CC44" t="e">
        <f ca="1">((([1]Sheet11!$H$47/CB44)-1)*LN(BP44/([1]Sheet11!$G$36/2)))</f>
        <v>#NAME?</v>
      </c>
      <c r="CD44" t="e">
        <f t="shared" ca="1" si="2"/>
        <v>#NAME?</v>
      </c>
      <c r="CE44" t="e">
        <f t="shared" ca="1" si="3"/>
        <v>#NAME?</v>
      </c>
      <c r="CF44" t="e">
        <f ca="1">CE44*[1]Sheet10!$AL$629*LN([1]Sheet11!$H$52*12/([1]Sheet11!$G$36/2))/(0.00708*[1]Sheet11!$H$47*[1]Sheet11!$H$53)</f>
        <v>#NAME?</v>
      </c>
      <c r="CH44" s="17">
        <v>0</v>
      </c>
      <c r="CI44" s="17">
        <v>0</v>
      </c>
      <c r="CK44">
        <f>SQRT(((2*[1]Sheet11!$G$36/2*AV45)/[1]Sheet11!$H$48*((1-([1]Sheet10!$AL$625*[1]Sheet10!$AL$627))*[1]Sheet10!$AL$631/([1]Sheet10!$AL$628*[1]Sheet10!$AL$627))*60*39.37))</f>
        <v>10.521255100417996</v>
      </c>
      <c r="CM44" s="430">
        <v>0</v>
      </c>
      <c r="CN44" s="431">
        <v>4599786</v>
      </c>
      <c r="CO44" s="432">
        <v>0</v>
      </c>
      <c r="CP44" s="433">
        <v>0</v>
      </c>
      <c r="CR44" t="e">
        <f>((([1]Sheet11!$H$47/CH44)-0.8)*LN(CK44/([1]Sheet11!$G$36/2)))</f>
        <v>#DIV/0!</v>
      </c>
    </row>
    <row r="45" spans="1:96" ht="15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530" t="s">
        <v>108</v>
      </c>
      <c r="N45" s="278"/>
      <c r="O45" s="531">
        <v>10</v>
      </c>
      <c r="P45" s="17"/>
      <c r="Q45" s="17"/>
      <c r="R45" s="17"/>
      <c r="S45" s="17"/>
      <c r="T45" s="17"/>
      <c r="U45" s="17"/>
      <c r="V45" s="17"/>
      <c r="W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>
        <v>51.788979206067701</v>
      </c>
      <c r="AL45" s="9">
        <v>261.74919680222803</v>
      </c>
      <c r="AM45" s="17"/>
      <c r="AN45" s="400">
        <v>292.491741767696</v>
      </c>
      <c r="AO45" s="17">
        <v>21.046434240599801</v>
      </c>
      <c r="AP45" s="17"/>
      <c r="AQ45" s="400">
        <v>198.697305334996</v>
      </c>
      <c r="AR45" s="17">
        <v>7.9249085611227201</v>
      </c>
      <c r="AS45" s="17"/>
      <c r="AT45" s="17">
        <v>0</v>
      </c>
      <c r="AU45" s="101">
        <v>5.7800121872259398</v>
      </c>
      <c r="AV45" s="17">
        <v>385</v>
      </c>
      <c r="AW45" s="102">
        <v>0</v>
      </c>
      <c r="AX45" s="1" t="e">
        <f>IF([1]Sheet11!$H$47&gt;=400,AT45,IF($J$137&lt;=200,((($H$119-($H$120*$H$121))/(($H$119-($H$120*$H$121*EXP(-$H$121*AW45)))))*(($J$136/($J$136+100))*$J$136))*7.5*(400/[1]Sheet11!$H$47),IF($J$137&lt;=250,((($H$119-($H$120*$H$121))/(($H$119-($H$120*$H$121*EXP(-$H$121*AW45)))))*(($J$136/($J$136+100))))*$J$136*7*(400/[1]Sheet11!$H$47),IF($J$137&lt;300,((($H$119-($H$120*$H$121))/(($H$119-($H$120*$H$121*EXP(-$H$121*AW45)))))*(($J$136/($J$136+100))))*$J$136*8*(400/[1]Sheet11!$H$47),IF(AND([1]Sheet11!$H$47&lt;=50,$J$137&gt;=300),((($H$119-($H$120*$H$121))/(($H$119-($H$120*$H$121*EXP(-$H$121*AW45)))))*(($J$136/($J$136+100))*$J$136))*(400/[1]Sheet11!$H$47),IF(AND([1]Sheet11!$H$47&gt;50,[1]Sheet11!$H$47&lt;=200,$J$137&gt;=300),((($H$119-($H$120*$H$121))/(($H$119-($H$120*$H$121*EXP(-$H$121*AW45)))))*(($J$136/($J$136+100))*$J$136))*3.5*(400/[1]Sheet11!$H$47))))))+2)</f>
        <v>#VALUE!</v>
      </c>
      <c r="AY45" s="1" t="e">
        <f t="shared" si="4"/>
        <v>#VALUE!</v>
      </c>
      <c r="AZ45" t="e">
        <f>IF([1]Sheet11!$H$47=400,((((AW45/AV45)/$G$129)*$G$129*60*[1]Sheet10!$AL$629*[1]Sheet11!$H$54/(($G$129*(AX45/14.7))))*1000),((((AW45/AV45)/$G$129)*$G$129*60*[1]Sheet10!$AL$629*[1]Sheet11!$H$54/(($G$129*(AX45*(400/[1]Sheet11!$H$47)/14.7))))*1000))</f>
        <v>#VALUE!</v>
      </c>
      <c r="BA45" t="e">
        <f>AZ45/[1]Sheet11!$H$47</f>
        <v>#VALUE!</v>
      </c>
      <c r="BB45" t="e">
        <f>IF($E$224&lt;=1,ABS(1/(([1]Sheet11!$H$54/AZ45)-(([1]Sheet11!$H$54)/[1]Sheet11!$H$47))),($E$224/(([1]Sheet11!$H$54/AZ45)-(([1]Sheet11!$H$54-BD45)/[1]Sheet11!$H$47))))</f>
        <v>#VALUE!</v>
      </c>
      <c r="BC45" t="e">
        <f>(BB45/[1]Sheet11!$H$47)</f>
        <v>#VALUE!</v>
      </c>
      <c r="BD45" t="e">
        <f>IF([1]Sheet11!$H$47=400,((AX45*4389120*($D$146^(1+$J$80))/($J$81*($D$150^$J$80)))*(1.26/(3+1/$J$80))^$J$80*AW45/$AW$70),((AX45*(400/[1]Sheet11!$H$47)*4389120*($D$146^(1+$J$80)))/($J$81*($D$150^$J$80)))*(1.3/(3+1/$J$80))^$J$80*AW45/$AW$70)</f>
        <v>#VALUE!</v>
      </c>
      <c r="BE45" t="e">
        <f>IF([1]Sheet11!$H$47=400,((AX45/14.7)*([1]Sheet11!$H$47/1000)*$G$129)/((AW45/'Oil-Based Mud 1'!AV45*60)*[1]Sheet10!$AL$629*([1]Sheet11!$H$54)),((AX45*(400/[1]Sheet11!$H$47)/14.7)*([1]Sheet11!$H$47/1000)*$G$129)/((AW45/'Oil-Based Mud 1'!AV45*60)*[1]Sheet10!$AL$629*([1]Sheet11!$H$54)))+1.6</f>
        <v>#VALUE!</v>
      </c>
      <c r="BF45" t="e">
        <f t="shared" si="0"/>
        <v>#DIV/0!</v>
      </c>
      <c r="BH45">
        <v>0.423586698484126</v>
      </c>
      <c r="BJ45">
        <f>IF(AV45=0,"0",SQRT(((2*[1]Sheet11!$G$36/2*AV45)/[1]Sheet11!$H$48*((1-([1]Sheet10!$AL$625*[1]Sheet10!$AL$627))*[1]Sheet10!$AL$631/([1]Sheet10!$AL$628*[1]Sheet10!$AL$627))*60*39.37+([1]Sheet11!$G$36/2)^2)))</f>
        <v>10.940603680239573</v>
      </c>
      <c r="BM45" s="429">
        <f>((([1]Sheet11!$H$47/BU45)-1)*LN(BP45/([1]Sheet11!$G$36/2)))</f>
        <v>3.9472276033868887</v>
      </c>
      <c r="BO45" s="17">
        <v>1670</v>
      </c>
      <c r="BP45">
        <f>SQRT(((2*[1]Sheet11!$G$36/2*BO45)/[1]Sheet11!$H$48*((1-([1]Sheet10!$AL$625*[1]Sheet10!$AL$627))*[1]Sheet10!$AL$631/([1]Sheet10!$AL$628*[1]Sheet10!$AL$627))*60*39.37))</f>
        <v>21.912676212941083</v>
      </c>
      <c r="BQ45" s="428" t="e">
        <f t="shared" si="5"/>
        <v>#REF!</v>
      </c>
      <c r="BS45">
        <v>29.2321932067583</v>
      </c>
      <c r="BU45">
        <v>67</v>
      </c>
      <c r="BW45">
        <f>SQRT(((2*[1]Sheet11!$G$36/2*BO45)/[1]Sheet11!$H$48*((1-([1]Sheet10!$AM$625*[1]Sheet10!$AM$627))*[1]Sheet10!$AM$631/([1]Sheet10!$AM$628*[1]Sheet10!$AM$627))*60*39.37))</f>
        <v>41.827155227625816</v>
      </c>
      <c r="BX45">
        <f>SQRT(((2*[1]Sheet11!$G$36/2*BO45)/[1]Sheet11!$H$48*((1-([1]Sheet10!$AN$625*[1]Sheet10!$AN$627))*[1]Sheet10!$AN$631/([1]Sheet10!$AN$628*[1]Sheet10!$AN$627))*60*39.37))</f>
        <v>30.352315536225284</v>
      </c>
      <c r="BZ45" t="e">
        <f t="shared" ca="1" si="1"/>
        <v>#NAME?</v>
      </c>
      <c r="CA45" t="e">
        <f ca="1">(CE45*[1]Sheet10!$AL$629/(7.08*[1]Sheet11!$H$53*(CF45)))*1000*LN(([1]Sheet11!$H$52*12)/(BP45))</f>
        <v>#NAME?</v>
      </c>
      <c r="CB45" t="e">
        <f ca="1">LN(BP45/([1]Sheet11!$G$36/2))/((LN(([1]Sheet11!$H$52*12)/([1]Sheet11!$G$36/2))/CA45)-LN(([1]Sheet11!$H$52*12)/BP45)/[1]Sheet11!$H$47)</f>
        <v>#NAME?</v>
      </c>
      <c r="CC45" t="e">
        <f ca="1">((([1]Sheet11!$H$47/CB45)-1)*LN(BP45/([1]Sheet11!$G$36/2)))</f>
        <v>#NAME?</v>
      </c>
      <c r="CD45" t="e">
        <f t="shared" ca="1" si="2"/>
        <v>#NAME?</v>
      </c>
      <c r="CE45" t="e">
        <f t="shared" ca="1" si="3"/>
        <v>#NAME?</v>
      </c>
      <c r="CF45" t="e">
        <f ca="1">CE45*[1]Sheet10!$AL$629*LN([1]Sheet11!$H$52*12/([1]Sheet11!$G$36/2))/(0.00708*[1]Sheet11!$H$47*[1]Sheet11!$H$53)</f>
        <v>#NAME?</v>
      </c>
      <c r="CH45" s="17">
        <v>0</v>
      </c>
      <c r="CI45" s="17">
        <v>0</v>
      </c>
      <c r="CK45">
        <f>SQRT(((2*[1]Sheet11!$G$36/2*AV46)/[1]Sheet11!$H$48*((1-([1]Sheet10!$AL$625*[1]Sheet10!$AL$627))*[1]Sheet10!$AL$631/([1]Sheet10!$AL$628*[1]Sheet10!$AL$627))*60*39.37))</f>
        <v>11.80886221365451</v>
      </c>
      <c r="CM45" s="430">
        <v>0</v>
      </c>
      <c r="CN45" s="431">
        <v>4599786</v>
      </c>
      <c r="CO45" s="432">
        <v>0</v>
      </c>
      <c r="CP45" s="433">
        <v>0</v>
      </c>
      <c r="CR45" t="e">
        <f>((([1]Sheet11!$H$47/CH45)-0.8)*LN(CK45/([1]Sheet11!$G$36/2)))</f>
        <v>#DIV/0!</v>
      </c>
    </row>
    <row r="46" spans="1:96" ht="15" x14ac:dyDescent="0.25">
      <c r="A46" s="407"/>
      <c r="B46" s="407"/>
      <c r="C46" s="532" t="s">
        <v>5</v>
      </c>
      <c r="D46" s="407"/>
      <c r="E46" s="407"/>
      <c r="F46" s="407"/>
      <c r="G46" s="407"/>
      <c r="H46" s="407"/>
      <c r="I46" s="54"/>
      <c r="J46" s="54"/>
      <c r="K46" s="54"/>
      <c r="L46" s="54"/>
      <c r="M46" s="533" t="s">
        <v>110</v>
      </c>
      <c r="N46" s="534"/>
      <c r="O46" s="535">
        <v>0.30499999999999999</v>
      </c>
      <c r="P46" s="54"/>
      <c r="Q46" s="54"/>
      <c r="R46" s="54"/>
      <c r="S46" s="54"/>
      <c r="T46" s="54"/>
      <c r="U46" s="54"/>
      <c r="V46" s="54"/>
      <c r="W46" s="54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>
        <v>50.774434827970303</v>
      </c>
      <c r="AL46" s="9">
        <v>262.76374118032498</v>
      </c>
      <c r="AM46" s="17"/>
      <c r="AN46" s="400">
        <v>293.420754578801</v>
      </c>
      <c r="AO46" s="17">
        <v>20.117421429494499</v>
      </c>
      <c r="AP46" s="17"/>
      <c r="AQ46" s="400">
        <v>199.55905708832</v>
      </c>
      <c r="AR46" s="17">
        <v>7.0631568077991203</v>
      </c>
      <c r="AS46" s="17"/>
      <c r="AT46" s="17">
        <v>0</v>
      </c>
      <c r="AU46" s="101">
        <v>6.5277722691602298</v>
      </c>
      <c r="AV46" s="17">
        <v>485</v>
      </c>
      <c r="AW46" s="102">
        <v>0</v>
      </c>
      <c r="AX46" s="1" t="e">
        <f>IF([1]Sheet11!$H$47&gt;=400,AT46,IF($J$137&lt;=200,((($H$119-($H$120*$H$121))/(($H$119-($H$120*$H$121*EXP(-$H$121*AW46)))))*(($J$136/($J$136+100))*$J$136))*7.5*(400/[1]Sheet11!$H$47),IF($J$137&lt;=250,((($H$119-($H$120*$H$121))/(($H$119-($H$120*$H$121*EXP(-$H$121*AW46)))))*(($J$136/($J$136+100))))*$J$136*7*(400/[1]Sheet11!$H$47),IF($J$137&lt;300,((($H$119-($H$120*$H$121))/(($H$119-($H$120*$H$121*EXP(-$H$121*AW46)))))*(($J$136/($J$136+100))))*$J$136*8*(400/[1]Sheet11!$H$47),IF(AND([1]Sheet11!$H$47&lt;=50,$J$137&gt;=300),((($H$119-($H$120*$H$121))/(($H$119-($H$120*$H$121*EXP(-$H$121*AW46)))))*(($J$136/($J$136+100))*$J$136))*(400/[1]Sheet11!$H$47),IF(AND([1]Sheet11!$H$47&gt;50,[1]Sheet11!$H$47&lt;=200,$J$137&gt;=300),((($H$119-($H$120*$H$121))/(($H$119-($H$120*$H$121*EXP(-$H$121*AW46)))))*(($J$136/($J$136+100))*$J$136))*3.5*(400/[1]Sheet11!$H$47))))))+2)</f>
        <v>#VALUE!</v>
      </c>
      <c r="AY46" s="1" t="e">
        <f t="shared" si="4"/>
        <v>#VALUE!</v>
      </c>
      <c r="AZ46" t="e">
        <f>IF([1]Sheet11!$H$47=400,((((AW46/AV46)/$G$129)*$G$129*60*[1]Sheet10!$AL$629*[1]Sheet11!$H$54/(($G$129*(AX46/14.7))))*1000),((((AW46/AV46)/$G$129)*$G$129*60*[1]Sheet10!$AL$629*[1]Sheet11!$H$54/(($G$129*(AX46*(400/[1]Sheet11!$H$47)/14.7))))*1000))</f>
        <v>#VALUE!</v>
      </c>
      <c r="BA46" t="e">
        <f>AZ46/[1]Sheet11!$H$47</f>
        <v>#VALUE!</v>
      </c>
      <c r="BB46" t="e">
        <f>IF($E$224&lt;=1,ABS(1/(([1]Sheet11!$H$54/AZ46)-(([1]Sheet11!$H$54)/[1]Sheet11!$H$47))),($E$224/(([1]Sheet11!$H$54/AZ46)-(([1]Sheet11!$H$54-BD46)/[1]Sheet11!$H$47))))</f>
        <v>#VALUE!</v>
      </c>
      <c r="BC46" t="e">
        <f>(BB46/[1]Sheet11!$H$47)</f>
        <v>#VALUE!</v>
      </c>
      <c r="BD46" t="e">
        <f>IF([1]Sheet11!$H$47=400,((AX46*4389120*($D$146^(1+$J$80))/($J$81*($D$150^$J$80)))*(1.26/(3+1/$J$80))^$J$80*AW46/$AW$70),((AX46*(400/[1]Sheet11!$H$47)*4389120*($D$146^(1+$J$80)))/($J$81*($D$150^$J$80)))*(1.3/(3+1/$J$80))^$J$80*AW46/$AW$70)</f>
        <v>#VALUE!</v>
      </c>
      <c r="BE46" t="e">
        <f>IF([1]Sheet11!$H$47=400,((AX46/14.7)*([1]Sheet11!$H$47/1000)*$G$129)/((AW46/'Oil-Based Mud 1'!AV46*60)*[1]Sheet10!$AL$629*([1]Sheet11!$H$54)),((AX46*(400/[1]Sheet11!$H$47)/14.7)*([1]Sheet11!$H$47/1000)*$G$129)/((AW46/'Oil-Based Mud 1'!AV46*60)*[1]Sheet10!$AL$629*([1]Sheet11!$H$54)))+1.6</f>
        <v>#VALUE!</v>
      </c>
      <c r="BF46" t="e">
        <f t="shared" si="0"/>
        <v>#DIV/0!</v>
      </c>
      <c r="BH46">
        <v>0.41873153274035302</v>
      </c>
      <c r="BJ46">
        <f>IF(AV46=0,"0",SQRT(((2*[1]Sheet11!$G$36/2*AV46)/[1]Sheet11!$H$48*((1-([1]Sheet10!$AL$625*[1]Sheet10!$AL$627))*[1]Sheet10!$AL$631/([1]Sheet10!$AL$628*[1]Sheet10!$AL$627))*60*39.37+([1]Sheet11!$G$36/2)^2)))</f>
        <v>12.183974178447576</v>
      </c>
      <c r="BM46" s="429">
        <f>((([1]Sheet11!$H$47/BU46)-1)*LN(BP46/([1]Sheet11!$G$36/2)))</f>
        <v>3.9170569730471776</v>
      </c>
      <c r="BO46" s="17">
        <v>1620</v>
      </c>
      <c r="BP46">
        <f>SQRT(((2*[1]Sheet11!$G$36/2*BO46)/[1]Sheet11!$H$48*((1-([1]Sheet10!$AL$625*[1]Sheet10!$AL$627))*[1]Sheet10!$AL$631/([1]Sheet10!$AL$628*[1]Sheet10!$AL$627))*60*39.37))</f>
        <v>21.582149333805731</v>
      </c>
      <c r="BQ46" s="428" t="e">
        <f t="shared" si="5"/>
        <v>#REF!</v>
      </c>
      <c r="BS46">
        <v>29.4092146828967</v>
      </c>
      <c r="BU46">
        <v>67</v>
      </c>
      <c r="BW46">
        <f>SQRT(((2*[1]Sheet11!$G$36/2*BO46)/[1]Sheet11!$H$48*((1-([1]Sheet10!$AM$625*[1]Sheet10!$AM$627))*[1]Sheet10!$AM$631/([1]Sheet10!$AM$628*[1]Sheet10!$AM$627))*60*39.37))</f>
        <v>41.196241917624356</v>
      </c>
      <c r="BX46">
        <f>SQRT(((2*[1]Sheet11!$G$36/2*BO46)/[1]Sheet11!$H$48*((1-([1]Sheet10!$AN$625*[1]Sheet10!$AN$627))*[1]Sheet10!$AN$631/([1]Sheet10!$AN$628*[1]Sheet10!$AN$627))*60*39.37))</f>
        <v>29.894486650733182</v>
      </c>
      <c r="BZ46" t="e">
        <f t="shared" ca="1" si="1"/>
        <v>#NAME?</v>
      </c>
      <c r="CA46" t="e">
        <f ca="1">(CE46*[1]Sheet10!$AL$629/(7.08*[1]Sheet11!$H$53*(CF46)))*1000*LN(([1]Sheet11!$H$52*12)/(BP46))</f>
        <v>#NAME?</v>
      </c>
      <c r="CB46" t="e">
        <f ca="1">LN(BP46/([1]Sheet11!$G$36/2))/((LN(([1]Sheet11!$H$52*12)/([1]Sheet11!$G$36/2))/CA46)-LN(([1]Sheet11!$H$52*12)/BP46)/[1]Sheet11!$H$47)</f>
        <v>#NAME?</v>
      </c>
      <c r="CC46" t="e">
        <f ca="1">((([1]Sheet11!$H$47/CB46)-1)*LN(BP46/([1]Sheet11!$G$36/2)))</f>
        <v>#NAME?</v>
      </c>
      <c r="CD46" t="e">
        <f t="shared" ca="1" si="2"/>
        <v>#NAME?</v>
      </c>
      <c r="CE46" t="e">
        <f t="shared" ca="1" si="3"/>
        <v>#NAME?</v>
      </c>
      <c r="CF46" t="e">
        <f ca="1">CE46*[1]Sheet10!$AL$629*LN([1]Sheet11!$H$52*12/([1]Sheet11!$G$36/2))/(0.00708*[1]Sheet11!$H$47*[1]Sheet11!$H$53)</f>
        <v>#NAME?</v>
      </c>
      <c r="CH46" s="17">
        <v>0</v>
      </c>
      <c r="CI46" s="17">
        <v>0</v>
      </c>
      <c r="CK46">
        <f>SQRT(((2*[1]Sheet11!$G$36/2*AV47)/[1]Sheet11!$H$48*((1-([1]Sheet10!$AL$625*[1]Sheet10!$AL$627))*[1]Sheet10!$AL$631/([1]Sheet10!$AL$628*[1]Sheet10!$AL$627))*60*39.37))</f>
        <v>12.969257676292925</v>
      </c>
      <c r="CM46" s="430">
        <v>0</v>
      </c>
      <c r="CN46" s="431">
        <v>4599786</v>
      </c>
      <c r="CO46" s="432">
        <v>0</v>
      </c>
      <c r="CP46" s="433">
        <v>0</v>
      </c>
      <c r="CR46" t="e">
        <f>((([1]Sheet11!$H$47/CH46)-0.8)*LN(CK46/([1]Sheet11!$G$36/2)))</f>
        <v>#DIV/0!</v>
      </c>
    </row>
    <row r="47" spans="1:96" ht="15" x14ac:dyDescent="0.25">
      <c r="A47" s="536" t="s">
        <v>8</v>
      </c>
      <c r="B47" s="537" t="s">
        <v>9</v>
      </c>
      <c r="C47" s="538" t="s">
        <v>238</v>
      </c>
      <c r="D47" s="539" t="s">
        <v>11</v>
      </c>
      <c r="E47" s="540" t="s">
        <v>239</v>
      </c>
      <c r="F47" s="540" t="s">
        <v>240</v>
      </c>
      <c r="G47" s="540" t="s">
        <v>241</v>
      </c>
      <c r="H47" s="407"/>
      <c r="I47" s="541" t="s">
        <v>242</v>
      </c>
      <c r="J47" s="542">
        <v>21</v>
      </c>
      <c r="K47" s="543">
        <v>107.1</v>
      </c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>
        <v>49.8953542453173</v>
      </c>
      <c r="AL47" s="9">
        <v>263.64282176297797</v>
      </c>
      <c r="AM47" s="17"/>
      <c r="AN47" s="400">
        <v>294.23669321241101</v>
      </c>
      <c r="AO47" s="17">
        <v>19.301482795884699</v>
      </c>
      <c r="AP47" s="17"/>
      <c r="AQ47" s="400">
        <v>200.18960235563</v>
      </c>
      <c r="AR47" s="17">
        <v>6.4326115404888604</v>
      </c>
      <c r="AS47" s="17"/>
      <c r="AT47" s="17">
        <v>0</v>
      </c>
      <c r="AU47" s="101">
        <v>7.2018396420294302</v>
      </c>
      <c r="AV47" s="17">
        <v>585</v>
      </c>
      <c r="AW47" s="102">
        <v>0</v>
      </c>
      <c r="AX47" s="1" t="e">
        <f>IF([1]Sheet11!$H$47&gt;=400,AT47,IF($J$137&lt;=200,((($H$119-($H$120*$H$121))/(($H$119-($H$120*$H$121*EXP(-$H$121*AW47)))))*(($J$136/($J$136+100))*$J$136))*7.5*(400/[1]Sheet11!$H$47),IF($J$137&lt;=250,((($H$119-($H$120*$H$121))/(($H$119-($H$120*$H$121*EXP(-$H$121*AW47)))))*(($J$136/($J$136+100))))*$J$136*7*(400/[1]Sheet11!$H$47),IF($J$137&lt;300,((($H$119-($H$120*$H$121))/(($H$119-($H$120*$H$121*EXP(-$H$121*AW47)))))*(($J$136/($J$136+100))))*$J$136*8*(400/[1]Sheet11!$H$47),IF(AND([1]Sheet11!$H$47&lt;=50,$J$137&gt;=300),((($H$119-($H$120*$H$121))/(($H$119-($H$120*$H$121*EXP(-$H$121*AW47)))))*(($J$136/($J$136+100))*$J$136))*(400/[1]Sheet11!$H$47),IF(AND([1]Sheet11!$H$47&gt;50,[1]Sheet11!$H$47&lt;=200,$J$137&gt;=300),((($H$119-($H$120*$H$121))/(($H$119-($H$120*$H$121*EXP(-$H$121*AW47)))))*(($J$136/($J$136+100))*$J$136))*3.5*(400/[1]Sheet11!$H$47))))))+2)</f>
        <v>#VALUE!</v>
      </c>
      <c r="AY47" s="1" t="e">
        <f t="shared" si="4"/>
        <v>#VALUE!</v>
      </c>
      <c r="AZ47" t="e">
        <f>IF([1]Sheet11!$H$47=400,((((AW47/AV47)/$G$129)*$G$129*60*[1]Sheet10!$AL$629*[1]Sheet11!$H$54/(($G$129*(AX47/14.7))))*1000),((((AW47/AV47)/$G$129)*$G$129*60*[1]Sheet10!$AL$629*[1]Sheet11!$H$54/(($G$129*(AX47*(400/[1]Sheet11!$H$47)/14.7))))*1000))</f>
        <v>#VALUE!</v>
      </c>
      <c r="BA47" t="e">
        <f>AZ47/[1]Sheet11!$H$47</f>
        <v>#VALUE!</v>
      </c>
      <c r="BB47" t="e">
        <f>IF($E$224&lt;=1,ABS(1/(([1]Sheet11!$H$54/AZ47)-(([1]Sheet11!$H$54)/[1]Sheet11!$H$47))),($E$224/(([1]Sheet11!$H$54/AZ47)-(([1]Sheet11!$H$54-BD47)/[1]Sheet11!$H$47))))</f>
        <v>#VALUE!</v>
      </c>
      <c r="BC47" t="e">
        <f>(BB47/[1]Sheet11!$H$47)</f>
        <v>#VALUE!</v>
      </c>
      <c r="BD47" t="e">
        <f>IF([1]Sheet11!$H$47=400,((AX47*4389120*($D$146^(1+$J$80))/($J$81*($D$150^$J$80)))*(1.26/(3+1/$J$80))^$J$80*AW47/$AW$70),((AX47*(400/[1]Sheet11!$H$47)*4389120*($D$146^(1+$J$80)))/($J$81*($D$150^$J$80)))*(1.3/(3+1/$J$80))^$J$80*AW47/$AW$70)</f>
        <v>#VALUE!</v>
      </c>
      <c r="BE47" t="e">
        <f>IF([1]Sheet11!$H$47=400,((AX47/14.7)*([1]Sheet11!$H$47/1000)*$G$129)/((AW47/'Oil-Based Mud 1'!AV47*60)*[1]Sheet10!$AL$629*([1]Sheet11!$H$54)),((AX47*(400/[1]Sheet11!$H$47)/14.7)*([1]Sheet11!$H$47/1000)*$G$129)/((AW47/'Oil-Based Mud 1'!AV47*60)*[1]Sheet10!$AL$629*([1]Sheet11!$H$54)))+1.6</f>
        <v>#VALUE!</v>
      </c>
      <c r="BF47" t="e">
        <f t="shared" si="0"/>
        <v>#DIV/0!</v>
      </c>
      <c r="BH47">
        <v>0.41414857613530898</v>
      </c>
      <c r="BJ47">
        <f>IF(AV47=0,"0",SQRT(((2*[1]Sheet11!$G$36/2*AV47)/[1]Sheet11!$H$48*((1-([1]Sheet10!$AL$625*[1]Sheet10!$AL$627))*[1]Sheet10!$AL$631/([1]Sheet10!$AL$628*[1]Sheet10!$AL$627))*60*39.37+([1]Sheet11!$G$36/2)^2)))</f>
        <v>13.31171080943704</v>
      </c>
      <c r="BM47" s="429">
        <f>((([1]Sheet11!$H$47/BU47)-1)*LN(BP47/([1]Sheet11!$G$36/2)))</f>
        <v>3.8859404023413409</v>
      </c>
      <c r="BO47" s="17">
        <v>1570</v>
      </c>
      <c r="BP47">
        <f>SQRT(((2*[1]Sheet11!$G$36/2*BO47)/[1]Sheet11!$H$48*((1-([1]Sheet10!$AL$625*[1]Sheet10!$AL$627))*[1]Sheet10!$AL$631/([1]Sheet10!$AL$628*[1]Sheet10!$AL$627))*60*39.37))</f>
        <v>21.246481142066521</v>
      </c>
      <c r="BQ47" s="428" t="e">
        <f t="shared" si="5"/>
        <v>#REF!</v>
      </c>
      <c r="BS47">
        <v>29.5921997634549</v>
      </c>
      <c r="BU47">
        <v>67</v>
      </c>
      <c r="BW47">
        <f>SQRT(((2*[1]Sheet11!$G$36/2*BO47)/[1]Sheet11!$H$48*((1-([1]Sheet10!$AM$625*[1]Sheet10!$AM$627))*[1]Sheet10!$AM$631/([1]Sheet10!$AM$628*[1]Sheet10!$AM$627))*60*39.37))</f>
        <v>40.555514814078656</v>
      </c>
      <c r="BX47">
        <f>SQRT(((2*[1]Sheet11!$G$36/2*BO47)/[1]Sheet11!$H$48*((1-([1]Sheet10!$AN$625*[1]Sheet10!$AN$627))*[1]Sheet10!$AN$631/([1]Sheet10!$AN$628*[1]Sheet10!$AN$627))*60*39.37))</f>
        <v>29.429536282638679</v>
      </c>
      <c r="BZ47" t="e">
        <f t="shared" ca="1" si="1"/>
        <v>#NAME?</v>
      </c>
      <c r="CA47" t="e">
        <f ca="1">(CE47*[1]Sheet10!$AL$629/(7.08*[1]Sheet11!$H$53*(CF47)))*1000*LN(([1]Sheet11!$H$52*12)/(BP47))</f>
        <v>#NAME?</v>
      </c>
      <c r="CB47" t="e">
        <f ca="1">LN(BP47/([1]Sheet11!$G$36/2))/((LN(([1]Sheet11!$H$52*12)/([1]Sheet11!$G$36/2))/CA47)-LN(([1]Sheet11!$H$52*12)/BP47)/[1]Sheet11!$H$47)</f>
        <v>#NAME?</v>
      </c>
      <c r="CC47" t="e">
        <f ca="1">((([1]Sheet11!$H$47/CB47)-1)*LN(BP47/([1]Sheet11!$G$36/2)))</f>
        <v>#NAME?</v>
      </c>
      <c r="CD47" t="e">
        <f t="shared" ca="1" si="2"/>
        <v>#NAME?</v>
      </c>
      <c r="CE47" t="e">
        <f t="shared" ca="1" si="3"/>
        <v>#NAME?</v>
      </c>
      <c r="CF47" t="e">
        <f ca="1">CE47*[1]Sheet10!$AL$629*LN([1]Sheet11!$H$52*12/([1]Sheet11!$G$36/2))/(0.00708*[1]Sheet11!$H$47*[1]Sheet11!$H$53)</f>
        <v>#NAME?</v>
      </c>
      <c r="CH47" s="17">
        <v>0</v>
      </c>
      <c r="CI47" s="17">
        <v>0</v>
      </c>
      <c r="CK47">
        <f>SQRT(((2*[1]Sheet11!$G$36/2*AV48)/[1]Sheet11!$H$48*((1-([1]Sheet10!$AL$625*[1]Sheet10!$AL$627))*[1]Sheet10!$AL$631/([1]Sheet10!$AL$628*[1]Sheet10!$AL$627))*60*39.37))</f>
        <v>14.034032298918532</v>
      </c>
      <c r="CM47" s="430">
        <v>0</v>
      </c>
      <c r="CN47" s="431">
        <v>4599786</v>
      </c>
      <c r="CO47" s="432">
        <v>0</v>
      </c>
      <c r="CP47" s="433">
        <v>0</v>
      </c>
      <c r="CR47" t="e">
        <f>((([1]Sheet11!$H$47/CH47)-0.8)*LN(CK47/([1]Sheet11!$G$36/2)))</f>
        <v>#DIV/0!</v>
      </c>
    </row>
    <row r="48" spans="1:96" ht="15" x14ac:dyDescent="0.25">
      <c r="A48" s="544">
        <v>600</v>
      </c>
      <c r="B48" s="545">
        <v>53</v>
      </c>
      <c r="C48" s="546">
        <v>1021.92</v>
      </c>
      <c r="D48" s="546">
        <v>270.3</v>
      </c>
      <c r="E48" s="407">
        <v>284.59192484342401</v>
      </c>
      <c r="F48" s="407">
        <v>209.963772052574</v>
      </c>
      <c r="G48" s="407">
        <v>244.05075695249801</v>
      </c>
      <c r="H48" s="407"/>
      <c r="I48" s="413" t="s">
        <v>243</v>
      </c>
      <c r="J48" s="547">
        <v>11</v>
      </c>
      <c r="K48" s="415">
        <v>56.1</v>
      </c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>
        <v>49.126065617581702</v>
      </c>
      <c r="AL48" s="9">
        <v>264.41211039071402</v>
      </c>
      <c r="AM48" s="17"/>
      <c r="AN48" s="400">
        <v>294.960778985876</v>
      </c>
      <c r="AO48" s="17">
        <v>18.577397022420101</v>
      </c>
      <c r="AP48" s="17"/>
      <c r="AQ48" s="400">
        <v>200.67672401565801</v>
      </c>
      <c r="AR48" s="17">
        <v>5.9454898804604301</v>
      </c>
      <c r="AS48" s="17"/>
      <c r="AT48" s="17">
        <v>0</v>
      </c>
      <c r="AU48" s="101">
        <v>7.8204763424713697</v>
      </c>
      <c r="AV48" s="17">
        <v>685</v>
      </c>
      <c r="AW48" s="102">
        <v>0</v>
      </c>
      <c r="AX48" s="1" t="e">
        <f>IF([1]Sheet11!$H$47&gt;=400,AT48,IF($J$137&lt;=200,((($H$119-($H$120*$H$121))/(($H$119-($H$120*$H$121*EXP(-$H$121*AW48)))))*(($J$136/($J$136+100))*$J$136))*7.5*(400/[1]Sheet11!$H$47),IF($J$137&lt;=250,((($H$119-($H$120*$H$121))/(($H$119-($H$120*$H$121*EXP(-$H$121*AW48)))))*(($J$136/($J$136+100))))*$J$136*7*(400/[1]Sheet11!$H$47),IF($J$137&lt;300,((($H$119-($H$120*$H$121))/(($H$119-($H$120*$H$121*EXP(-$H$121*AW48)))))*(($J$136/($J$136+100))))*$J$136*8*(400/[1]Sheet11!$H$47),IF(AND([1]Sheet11!$H$47&lt;=50,$J$137&gt;=300),((($H$119-($H$120*$H$121))/(($H$119-($H$120*$H$121*EXP(-$H$121*AW48)))))*(($J$136/($J$136+100))*$J$136))*(400/[1]Sheet11!$H$47),IF(AND([1]Sheet11!$H$47&gt;50,[1]Sheet11!$H$47&lt;=200,$J$137&gt;=300),((($H$119-($H$120*$H$121))/(($H$119-($H$120*$H$121*EXP(-$H$121*AW48)))))*(($J$136/($J$136+100))*$J$136))*3.5*(400/[1]Sheet11!$H$47))))))+2)</f>
        <v>#VALUE!</v>
      </c>
      <c r="AY48" s="1" t="e">
        <f t="shared" si="4"/>
        <v>#VALUE!</v>
      </c>
      <c r="AZ48" t="e">
        <f>IF([1]Sheet11!$H$47=400,((((AW48/AV48)/$G$129)*$G$129*60*[1]Sheet10!$AL$629*[1]Sheet11!$H$54/(($G$129*(AX48/14.7))))*1000),((((AW48/AV48)/$G$129)*$G$129*60*[1]Sheet10!$AL$629*[1]Sheet11!$H$54/(($G$129*(AX48*(400/[1]Sheet11!$H$47)/14.7))))*1000))</f>
        <v>#VALUE!</v>
      </c>
      <c r="BA48" t="e">
        <f>AZ48/[1]Sheet11!$H$47</f>
        <v>#VALUE!</v>
      </c>
      <c r="BB48" t="e">
        <f>IF($E$224&lt;=1,ABS(1/(([1]Sheet11!$H$54/AZ48)-(([1]Sheet11!$H$54)/[1]Sheet11!$H$47))),($E$224/(([1]Sheet11!$H$54/AZ48)-(([1]Sheet11!$H$54-BD48)/[1]Sheet11!$H$47))))</f>
        <v>#VALUE!</v>
      </c>
      <c r="BC48" t="e">
        <f>(BB48/[1]Sheet11!$H$47)</f>
        <v>#VALUE!</v>
      </c>
      <c r="BD48" t="e">
        <f>IF([1]Sheet11!$H$47=400,((AX48*4389120*($D$146^(1+$J$80))/($J$81*($D$150^$J$80)))*(1.26/(3+1/$J$80))^$J$80*AW48/$AW$70),((AX48*(400/[1]Sheet11!$H$47)*4389120*($D$146^(1+$J$80)))/($J$81*($D$150^$J$80)))*(1.3/(3+1/$J$80))^$J$80*AW48/$AW$70)</f>
        <v>#VALUE!</v>
      </c>
      <c r="BE48" t="e">
        <f>IF([1]Sheet11!$H$47=400,((AX48/14.7)*([1]Sheet11!$H$47/1000)*$G$129)/((AW48/'Oil-Based Mud 1'!AV48*60)*[1]Sheet10!$AL$629*([1]Sheet11!$H$54)),((AX48*(400/[1]Sheet11!$H$47)/14.7)*([1]Sheet11!$H$47/1000)*$G$129)/((AW48/'Oil-Based Mud 1'!AV48*60)*[1]Sheet10!$AL$629*([1]Sheet11!$H$54)))+1.6</f>
        <v>#VALUE!</v>
      </c>
      <c r="BF48" t="e">
        <f t="shared" ref="BF48:BF70" si="6">AV48*AW48/$D$144</f>
        <v>#DIV/0!</v>
      </c>
      <c r="BH48">
        <v>0.40981480533837999</v>
      </c>
      <c r="BJ48">
        <f>IF(AV48=0,"0",SQRT(((2*[1]Sheet11!$G$36/2*AV48)/[1]Sheet11!$H$48*((1-([1]Sheet10!$AL$625*[1]Sheet10!$AL$627))*[1]Sheet10!$AL$631/([1]Sheet10!$AL$628*[1]Sheet10!$AL$627))*60*39.37+([1]Sheet11!$G$36/2)^2)))</f>
        <v>14.35109969887634</v>
      </c>
      <c r="BM48" s="429">
        <f>((([1]Sheet11!$H$47/BU48)-1)*LN(BP48/([1]Sheet11!$G$36/2)))</f>
        <v>3.8538166498132052</v>
      </c>
      <c r="BO48" s="17">
        <v>1520</v>
      </c>
      <c r="BP48">
        <f>SQRT(((2*[1]Sheet11!$G$36/2*BO48)/[1]Sheet11!$H$48*((1-([1]Sheet10!$AL$625*[1]Sheet10!$AL$627))*[1]Sheet10!$AL$631/([1]Sheet10!$AL$628*[1]Sheet10!$AL$627))*60*39.37))</f>
        <v>20.905423984547301</v>
      </c>
      <c r="BQ48" s="428" t="e">
        <f t="shared" si="5"/>
        <v>#REF!</v>
      </c>
      <c r="BS48">
        <v>29.7815713335835</v>
      </c>
      <c r="BU48">
        <v>67</v>
      </c>
      <c r="BW48">
        <f>SQRT(((2*[1]Sheet11!$G$36/2*BO48)/[1]Sheet11!$H$48*((1-([1]Sheet10!$AM$625*[1]Sheet10!$AM$627))*[1]Sheet10!$AM$631/([1]Sheet10!$AM$628*[1]Sheet10!$AM$627))*60*39.37))</f>
        <v>39.904501193906398</v>
      </c>
      <c r="BX48">
        <f>SQRT(((2*[1]Sheet11!$G$36/2*BO48)/[1]Sheet11!$H$48*((1-([1]Sheet10!$AN$625*[1]Sheet10!$AN$627))*[1]Sheet10!$AN$631/([1]Sheet10!$AN$628*[1]Sheet10!$AN$627))*60*39.37))</f>
        <v>28.957121395460366</v>
      </c>
      <c r="BZ48" t="e">
        <f t="shared" ref="BZ48:BZ77" ca="1" si="7">SolveDyEq(BO48,$H$118,$H$119,$H$120,$H$121)</f>
        <v>#NAME?</v>
      </c>
      <c r="CA48" t="e">
        <f ca="1">(CE48*[1]Sheet10!$AL$629/(7.08*[1]Sheet11!$H$53*(CF48)))*1000*LN(([1]Sheet11!$H$52*12)/(BP48))</f>
        <v>#NAME?</v>
      </c>
      <c r="CB48" t="e">
        <f ca="1">LN(BP48/([1]Sheet11!$G$36/2))/((LN(([1]Sheet11!$H$52*12)/([1]Sheet11!$G$36/2))/CA48)-LN(([1]Sheet11!$H$52*12)/BP48)/[1]Sheet11!$H$47)</f>
        <v>#NAME?</v>
      </c>
      <c r="CC48" t="e">
        <f ca="1">((([1]Sheet11!$H$47/CB48)-1)*LN(BP48/([1]Sheet11!$G$36/2)))</f>
        <v>#NAME?</v>
      </c>
      <c r="CD48" t="e">
        <f t="shared" ref="CD48:CD78" ca="1" si="8">((BZ48/BO48)/$G$129)</f>
        <v>#NAME?</v>
      </c>
      <c r="CE48" t="e">
        <f t="shared" ref="CE48:CE79" ca="1" si="9">$G$126*CD48</f>
        <v>#NAME?</v>
      </c>
      <c r="CF48" t="e">
        <f ca="1">CE48*[1]Sheet10!$AL$629*LN([1]Sheet11!$H$52*12/([1]Sheet11!$G$36/2))/(0.00708*[1]Sheet11!$H$47*[1]Sheet11!$H$53)</f>
        <v>#NAME?</v>
      </c>
      <c r="CH48" s="17">
        <v>0</v>
      </c>
      <c r="CI48" s="17">
        <v>0</v>
      </c>
      <c r="CK48">
        <f>SQRT(((2*[1]Sheet11!$G$36/2*AV49)/[1]Sheet11!$H$48*((1-([1]Sheet10!$AL$625*[1]Sheet10!$AL$627))*[1]Sheet10!$AL$631/([1]Sheet10!$AL$628*[1]Sheet10!$AL$627))*60*39.37))</f>
        <v>15.023530891907342</v>
      </c>
      <c r="CM48" s="430">
        <v>0</v>
      </c>
      <c r="CN48" s="431">
        <v>4599786</v>
      </c>
      <c r="CO48" s="432">
        <v>0</v>
      </c>
      <c r="CP48" s="433">
        <v>0</v>
      </c>
      <c r="CR48" t="e">
        <f>((([1]Sheet11!$H$47/CH48)-0.8)*LN(CK48/([1]Sheet11!$G$36/2)))</f>
        <v>#DIV/0!</v>
      </c>
    </row>
    <row r="49" spans="1:96" ht="15" x14ac:dyDescent="0.25">
      <c r="A49" s="548">
        <v>300</v>
      </c>
      <c r="B49" s="545">
        <v>32</v>
      </c>
      <c r="C49" s="280">
        <v>510.96</v>
      </c>
      <c r="D49" s="280">
        <v>163.19999999999999</v>
      </c>
      <c r="E49" s="407">
        <v>170.34596242171199</v>
      </c>
      <c r="F49" s="407">
        <v>163.19999999999999</v>
      </c>
      <c r="G49" s="407">
        <v>163.19999999999999</v>
      </c>
      <c r="H49" s="407"/>
      <c r="I49" s="409" t="s">
        <v>244</v>
      </c>
      <c r="J49" s="412">
        <v>0.36349936396813098</v>
      </c>
      <c r="K49" s="407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>
        <v>48.447175681601003</v>
      </c>
      <c r="AL49" s="9">
        <v>265.091000326695</v>
      </c>
      <c r="AM49" s="17"/>
      <c r="AN49" s="400">
        <v>295.60904569360798</v>
      </c>
      <c r="AO49" s="17">
        <v>17.929130314688098</v>
      </c>
      <c r="AP49" s="17"/>
      <c r="AQ49" s="400">
        <v>201.06766817871301</v>
      </c>
      <c r="AR49" s="17">
        <v>5.5545457174052304</v>
      </c>
      <c r="AS49" s="17"/>
      <c r="AT49" s="17">
        <v>0</v>
      </c>
      <c r="AU49" s="101">
        <v>8.3954550377094002</v>
      </c>
      <c r="AV49" s="17">
        <v>785</v>
      </c>
      <c r="AW49" s="102">
        <v>0</v>
      </c>
      <c r="AX49" s="1" t="e">
        <f>IF([1]Sheet11!$H$47&gt;=400,AT49,IF($J$137&lt;=200,((($H$119-($H$120*$H$121))/(($H$119-($H$120*$H$121*EXP(-$H$121*AW49)))))*(($J$136/($J$136+100))*$J$136))*7.5*(400/[1]Sheet11!$H$47),IF($J$137&lt;=250,((($H$119-($H$120*$H$121))/(($H$119-($H$120*$H$121*EXP(-$H$121*AW49)))))*(($J$136/($J$136+100))))*$J$136*7*(400/[1]Sheet11!$H$47),IF($J$137&lt;300,((($H$119-($H$120*$H$121))/(($H$119-($H$120*$H$121*EXP(-$H$121*AW49)))))*(($J$136/($J$136+100))))*$J$136*8*(400/[1]Sheet11!$H$47),IF(AND([1]Sheet11!$H$47&lt;=50,$J$137&gt;=300),((($H$119-($H$120*$H$121))/(($H$119-($H$120*$H$121*EXP(-$H$121*AW49)))))*(($J$136/($J$136+100))*$J$136))*(400/[1]Sheet11!$H$47),IF(AND([1]Sheet11!$H$47&gt;50,[1]Sheet11!$H$47&lt;=200,$J$137&gt;=300),((($H$119-($H$120*$H$121))/(($H$119-($H$120*$H$121*EXP(-$H$121*AW49)))))*(($J$136/($J$136+100))*$J$136))*3.5*(400/[1]Sheet11!$H$47))))))+2)</f>
        <v>#VALUE!</v>
      </c>
      <c r="AY49" s="1" t="e">
        <f t="shared" ref="AY49:AY80" si="10">$J$136-AX49</f>
        <v>#VALUE!</v>
      </c>
      <c r="AZ49" t="e">
        <f>IF([1]Sheet11!$H$47=400,((((AW49/AV49)/$G$129)*$G$129*60*[1]Sheet10!$AL$629*[1]Sheet11!$H$54/(($G$129*(AX49/14.7))))*1000),((((AW49/AV49)/$G$129)*$G$129*60*[1]Sheet10!$AL$629*[1]Sheet11!$H$54/(($G$129*(AX49*(400/[1]Sheet11!$H$47)/14.7))))*1000))</f>
        <v>#VALUE!</v>
      </c>
      <c r="BA49" t="e">
        <f>AZ49/[1]Sheet11!$H$47</f>
        <v>#VALUE!</v>
      </c>
      <c r="BB49" t="e">
        <f>IF($E$224&lt;=1,ABS(1/(([1]Sheet11!$H$54/AZ49)-(([1]Sheet11!$H$54)/[1]Sheet11!$H$47))),($E$224/(([1]Sheet11!$H$54/AZ49)-(([1]Sheet11!$H$54-BD49)/[1]Sheet11!$H$47))))</f>
        <v>#VALUE!</v>
      </c>
      <c r="BC49" t="e">
        <f>(BB49/[1]Sheet11!$H$47)</f>
        <v>#VALUE!</v>
      </c>
      <c r="BD49" t="e">
        <f>IF([1]Sheet11!$H$47=400,((AX49*4389120*($D$146^(1+$J$80))/($J$81*($D$150^$J$80)))*(1.26/(3+1/$J$80))^$J$80*AW49/$AW$70),((AX49*(400/[1]Sheet11!$H$47)*4389120*($D$146^(1+$J$80)))/($J$81*($D$150^$J$80)))*(1.3/(3+1/$J$80))^$J$80*AW49/$AW$70)</f>
        <v>#VALUE!</v>
      </c>
      <c r="BE49" t="e">
        <f>IF([1]Sheet11!$H$47=400,((AX49/14.7)*([1]Sheet11!$H$47/1000)*$G$129)/((AW49/'Oil-Based Mud 1'!AV49*60)*[1]Sheet10!$AL$629*([1]Sheet11!$H$54)),((AX49*(400/[1]Sheet11!$H$47)/14.7)*([1]Sheet11!$H$47/1000)*$G$129)/((AW49/'Oil-Based Mud 1'!AV49*60)*[1]Sheet10!$AL$629*([1]Sheet11!$H$54)))+1.6</f>
        <v>#VALUE!</v>
      </c>
      <c r="BF49" t="e">
        <f t="shared" si="6"/>
        <v>#DIV/0!</v>
      </c>
      <c r="BH49">
        <v>0.40570914641842198</v>
      </c>
      <c r="BJ49">
        <f>IF(AV49=0,"0",SQRT(((2*[1]Sheet11!$G$36/2*AV49)/[1]Sheet11!$H$48*((1-([1]Sheet10!$AL$625*[1]Sheet10!$AL$627))*[1]Sheet10!$AL$631/([1]Sheet10!$AL$628*[1]Sheet10!$AL$627))*60*39.37+([1]Sheet11!$G$36/2)^2)))</f>
        <v>15.320133173706232</v>
      </c>
      <c r="BM49" s="429">
        <f>((([1]Sheet11!$H$47/BU49)-1)*LN(BP49/([1]Sheet11!$G$36/2)))</f>
        <v>3.8206183271939302</v>
      </c>
      <c r="BO49" s="17">
        <v>1470</v>
      </c>
      <c r="BP49">
        <f>SQRT(((2*[1]Sheet11!$G$36/2*BO49)/[1]Sheet11!$H$48*((1-([1]Sheet10!$AL$625*[1]Sheet10!$AL$627))*[1]Sheet10!$AL$631/([1]Sheet10!$AL$628*[1]Sheet10!$AL$627))*60*39.37))</f>
        <v>20.558709663477977</v>
      </c>
      <c r="BQ49" s="428" t="e">
        <f t="shared" ref="BQ49:BQ71" si="11">BQ48-5</f>
        <v>#REF!</v>
      </c>
      <c r="BS49">
        <v>29.977858906888098</v>
      </c>
      <c r="BU49">
        <v>67</v>
      </c>
      <c r="BW49">
        <f>SQRT(((2*[1]Sheet11!$G$36/2*BO49)/[1]Sheet11!$H$48*((1-([1]Sheet10!$AM$625*[1]Sheet10!$AM$627))*[1]Sheet10!$AM$631/([1]Sheet10!$AM$628*[1]Sheet10!$AM$627))*60*39.37))</f>
        <v>39.242689118280374</v>
      </c>
      <c r="BX49">
        <f>SQRT(((2*[1]Sheet11!$G$36/2*BO49)/[1]Sheet11!$H$48*((1-([1]Sheet10!$AN$625*[1]Sheet10!$AN$627))*[1]Sheet10!$AN$631/([1]Sheet10!$AN$628*[1]Sheet10!$AN$627))*60*39.37))</f>
        <v>28.476870495398725</v>
      </c>
      <c r="BZ49" t="e">
        <f t="shared" ca="1" si="7"/>
        <v>#NAME?</v>
      </c>
      <c r="CA49" t="e">
        <f ca="1">(CE49*[1]Sheet10!$AL$629/(7.08*[1]Sheet11!$H$53*(CF49)))*1000*LN(([1]Sheet11!$H$52*12)/(BP49))</f>
        <v>#NAME?</v>
      </c>
      <c r="CB49" t="e">
        <f ca="1">LN(BP49/([1]Sheet11!$G$36/2))/((LN(([1]Sheet11!$H$52*12)/([1]Sheet11!$G$36/2))/CA49)-LN(([1]Sheet11!$H$52*12)/BP49)/[1]Sheet11!$H$47)</f>
        <v>#NAME?</v>
      </c>
      <c r="CC49" t="e">
        <f ca="1">((([1]Sheet11!$H$47/CB49)-1)*LN(BP49/([1]Sheet11!$G$36/2)))</f>
        <v>#NAME?</v>
      </c>
      <c r="CD49" t="e">
        <f t="shared" ca="1" si="8"/>
        <v>#NAME?</v>
      </c>
      <c r="CE49" t="e">
        <f t="shared" ca="1" si="9"/>
        <v>#NAME?</v>
      </c>
      <c r="CF49" t="e">
        <f ca="1">CE49*[1]Sheet10!$AL$629*LN([1]Sheet11!$H$52*12/([1]Sheet11!$G$36/2))/(0.00708*[1]Sheet11!$H$47*[1]Sheet11!$H$53)</f>
        <v>#NAME?</v>
      </c>
      <c r="CH49" s="17">
        <v>0</v>
      </c>
      <c r="CI49" s="17">
        <v>0</v>
      </c>
      <c r="CK49">
        <f>SQRT(((2*[1]Sheet11!$G$36/2*AV50)/[1]Sheet11!$H$48*((1-([1]Sheet10!$AL$625*[1]Sheet10!$AL$627))*[1]Sheet10!$AL$631/([1]Sheet10!$AL$628*[1]Sheet10!$AL$627))*60*39.37))</f>
        <v>15.951767875476994</v>
      </c>
      <c r="CM49" s="430">
        <v>0</v>
      </c>
      <c r="CN49" s="431">
        <v>4599786</v>
      </c>
      <c r="CO49" s="432">
        <v>0</v>
      </c>
      <c r="CP49" s="433">
        <v>0</v>
      </c>
      <c r="CR49" t="e">
        <f>((([1]Sheet11!$H$47/CH49)-0.8)*LN(CK49/([1]Sheet11!$G$36/2)))</f>
        <v>#DIV/0!</v>
      </c>
    </row>
    <row r="50" spans="1:96" ht="15" x14ac:dyDescent="0.25">
      <c r="A50" s="548" t="s">
        <v>20</v>
      </c>
      <c r="B50" s="545">
        <v>25</v>
      </c>
      <c r="C50" s="280">
        <v>340.64</v>
      </c>
      <c r="D50" s="280">
        <v>127.5</v>
      </c>
      <c r="E50" s="407">
        <v>132.26397494780801</v>
      </c>
      <c r="F50" s="407">
        <v>140.83516072702099</v>
      </c>
      <c r="G50" s="407">
        <v>130.484250612945</v>
      </c>
      <c r="H50" s="407"/>
      <c r="I50" s="413" t="s">
        <v>245</v>
      </c>
      <c r="J50" s="415">
        <v>1691.31008204614</v>
      </c>
      <c r="K50" s="407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>
        <v>47.843726974461902</v>
      </c>
      <c r="AL50" s="9">
        <v>265.69444903383402</v>
      </c>
      <c r="AM50" s="17"/>
      <c r="AN50" s="400">
        <v>296.19386383101602</v>
      </c>
      <c r="AO50" s="17">
        <v>17.344312177280099</v>
      </c>
      <c r="AP50" s="17"/>
      <c r="AQ50" s="400">
        <v>201.39041802317499</v>
      </c>
      <c r="AR50" s="17">
        <v>5.2317958729438399</v>
      </c>
      <c r="AS50" s="17"/>
      <c r="AT50" s="17">
        <v>0</v>
      </c>
      <c r="AU50" s="101">
        <v>8.9348910232078005</v>
      </c>
      <c r="AV50" s="17">
        <v>885</v>
      </c>
      <c r="AW50" s="102">
        <v>0</v>
      </c>
      <c r="AX50" s="1" t="e">
        <f>IF([1]Sheet11!$H$47&gt;=400,AT50,IF($J$137&lt;=200,((($H$119-($H$120*$H$121))/(($H$119-($H$120*$H$121*EXP(-$H$121*AW50)))))*(($J$136/($J$136+100))*$J$136))*7.5*(400/[1]Sheet11!$H$47),IF($J$137&lt;=250,((($H$119-($H$120*$H$121))/(($H$119-($H$120*$H$121*EXP(-$H$121*AW50)))))*(($J$136/($J$136+100))))*$J$136*7*(400/[1]Sheet11!$H$47),IF($J$137&lt;300,((($H$119-($H$120*$H$121))/(($H$119-($H$120*$H$121*EXP(-$H$121*AW50)))))*(($J$136/($J$136+100))))*$J$136*8*(400/[1]Sheet11!$H$47),IF(AND([1]Sheet11!$H$47&lt;=50,$J$137&gt;=300),((($H$119-($H$120*$H$121))/(($H$119-($H$120*$H$121*EXP(-$H$121*AW50)))))*(($J$136/($J$136+100))*$J$136))*(400/[1]Sheet11!$H$47),IF(AND([1]Sheet11!$H$47&gt;50,[1]Sheet11!$H$47&lt;=200,$J$137&gt;=300),((($H$119-($H$120*$H$121))/(($H$119-($H$120*$H$121*EXP(-$H$121*AW50)))))*(($J$136/($J$136+100))*$J$136))*3.5*(400/[1]Sheet11!$H$47))))))+2)</f>
        <v>#VALUE!</v>
      </c>
      <c r="AY50" s="1" t="e">
        <f t="shared" si="10"/>
        <v>#VALUE!</v>
      </c>
      <c r="AZ50" t="e">
        <f>IF([1]Sheet11!$H$47=400,((((AW50/AV50)/$G$129)*$G$129*60*[1]Sheet10!$AL$629*[1]Sheet11!$H$54/(($G$129*(AX50/14.7))))*1000),((((AW50/AV50)/$G$129)*$G$129*60*[1]Sheet10!$AL$629*[1]Sheet11!$H$54/(($G$129*(AX50*(400/[1]Sheet11!$H$47)/14.7))))*1000))</f>
        <v>#VALUE!</v>
      </c>
      <c r="BA50" t="e">
        <f>AZ50/[1]Sheet11!$H$47</f>
        <v>#VALUE!</v>
      </c>
      <c r="BB50" t="e">
        <f>IF($E$224&lt;=1,ABS(1/(([1]Sheet11!$H$54/AZ50)-(([1]Sheet11!$H$54)/[1]Sheet11!$H$47))),($E$224/(([1]Sheet11!$H$54/AZ50)-(([1]Sheet11!$H$54-BD50)/[1]Sheet11!$H$47))))</f>
        <v>#VALUE!</v>
      </c>
      <c r="BC50" t="e">
        <f>(BB50/[1]Sheet11!$H$47)</f>
        <v>#VALUE!</v>
      </c>
      <c r="BD50" t="e">
        <f>IF([1]Sheet11!$H$47=400,((AX50*4389120*($D$146^(1+$J$80))/($J$81*($D$150^$J$80)))*(1.26/(3+1/$J$80))^$J$80*AW50/$AW$70),((AX50*(400/[1]Sheet11!$H$47)*4389120*($D$146^(1+$J$80)))/($J$81*($D$150^$J$80)))*(1.3/(3+1/$J$80))^$J$80*AW50/$AW$70)</f>
        <v>#VALUE!</v>
      </c>
      <c r="BE50" t="e">
        <f>IF([1]Sheet11!$H$47=400,((AX50/14.7)*([1]Sheet11!$H$47/1000)*$G$129)/((AW50/'Oil-Based Mud 1'!AV50*60)*[1]Sheet10!$AL$629*([1]Sheet11!$H$54)),((AX50*(400/[1]Sheet11!$H$47)/14.7)*([1]Sheet11!$H$47/1000)*$G$129)/((AW50/'Oil-Based Mud 1'!AV50*60)*[1]Sheet10!$AL$629*([1]Sheet11!$H$54)))+1.6</f>
        <v>#VALUE!</v>
      </c>
      <c r="BF50" t="e">
        <f t="shared" si="6"/>
        <v>#DIV/0!</v>
      </c>
      <c r="BH50">
        <v>0.40181256443129298</v>
      </c>
      <c r="BJ50">
        <f>IF(AV50=0,"0",SQRT(((2*[1]Sheet11!$G$36/2*AV50)/[1]Sheet11!$H$48*((1-([1]Sheet10!$AL$625*[1]Sheet10!$AL$627))*[1]Sheet10!$AL$631/([1]Sheet10!$AL$628*[1]Sheet10!$AL$627))*60*39.37+([1]Sheet11!$G$36/2)^2)))</f>
        <v>16.231417016178835</v>
      </c>
      <c r="BM50" s="429">
        <f>((([1]Sheet11!$H$47/BU50)-1)*LN(BP50/([1]Sheet11!$G$36/2)))</f>
        <v>3.7862710482341968</v>
      </c>
      <c r="BO50" s="17">
        <v>1420</v>
      </c>
      <c r="BP50">
        <f>SQRT(((2*[1]Sheet11!$G$36/2*BO50)/[1]Sheet11!$H$48*((1-([1]Sheet10!$AL$625*[1]Sheet10!$AL$627))*[1]Sheet10!$AL$631/([1]Sheet10!$AL$628*[1]Sheet10!$AL$627))*60*39.37))</f>
        <v>20.206046968189497</v>
      </c>
      <c r="BQ50" s="428" t="e">
        <f t="shared" si="11"/>
        <v>#REF!</v>
      </c>
      <c r="BS50">
        <v>30.181616664878899</v>
      </c>
      <c r="BU50">
        <v>67</v>
      </c>
      <c r="BW50">
        <f>SQRT(((2*[1]Sheet11!$G$36/2*BO50)/[1]Sheet11!$H$48*((1-([1]Sheet10!$AM$625*[1]Sheet10!$AM$627))*[1]Sheet10!$AM$631/([1]Sheet10!$AM$628*[1]Sheet10!$AM$627))*60*39.37))</f>
        <v>38.569522721100981</v>
      </c>
      <c r="BX50">
        <f>SQRT(((2*[1]Sheet11!$G$36/2*BO50)/[1]Sheet11!$H$48*((1-([1]Sheet10!$AN$625*[1]Sheet10!$AN$627))*[1]Sheet10!$AN$631/([1]Sheet10!$AN$628*[1]Sheet10!$AN$627))*60*39.37))</f>
        <v>27.988380212366568</v>
      </c>
      <c r="BZ50" t="e">
        <f t="shared" ca="1" si="7"/>
        <v>#NAME?</v>
      </c>
      <c r="CA50" t="e">
        <f ca="1">(CE50*[1]Sheet10!$AL$629/(7.08*[1]Sheet11!$H$53*(CF50)))*1000*LN(([1]Sheet11!$H$52*12)/(BP50))</f>
        <v>#NAME?</v>
      </c>
      <c r="CB50" t="e">
        <f ca="1">LN(BP50/([1]Sheet11!$G$36/2))/((LN(([1]Sheet11!$H$52*12)/([1]Sheet11!$G$36/2))/CA50)-LN(([1]Sheet11!$H$52*12)/BP50)/[1]Sheet11!$H$47)</f>
        <v>#NAME?</v>
      </c>
      <c r="CC50" t="e">
        <f ca="1">((([1]Sheet11!$H$47/CB50)-1)*LN(BP50/([1]Sheet11!$G$36/2)))</f>
        <v>#NAME?</v>
      </c>
      <c r="CD50" t="e">
        <f t="shared" ca="1" si="8"/>
        <v>#NAME?</v>
      </c>
      <c r="CE50" t="e">
        <f t="shared" ca="1" si="9"/>
        <v>#NAME?</v>
      </c>
      <c r="CF50" t="e">
        <f ca="1">CE50*[1]Sheet10!$AL$629*LN([1]Sheet11!$H$52*12/([1]Sheet11!$G$36/2))/(0.00708*[1]Sheet11!$H$47*[1]Sheet11!$H$53)</f>
        <v>#NAME?</v>
      </c>
      <c r="CH50" s="17">
        <v>0</v>
      </c>
      <c r="CI50" s="17">
        <v>0</v>
      </c>
      <c r="CK50">
        <f>SQRT(((2*[1]Sheet11!$G$36/2*AV51)/[1]Sheet11!$H$48*((1-([1]Sheet10!$AL$625*[1]Sheet10!$AL$627))*[1]Sheet10!$AL$631/([1]Sheet10!$AL$628*[1]Sheet10!$AL$627))*60*39.37))</f>
        <v>16.828883392730056</v>
      </c>
      <c r="CM50" s="430">
        <v>0</v>
      </c>
      <c r="CN50" s="431">
        <v>4599786</v>
      </c>
      <c r="CO50" s="432">
        <v>0</v>
      </c>
      <c r="CP50" s="433">
        <v>0</v>
      </c>
      <c r="CR50" t="e">
        <f>((([1]Sheet11!$H$47/CH50)-0.8)*LN(CK50/([1]Sheet11!$G$36/2)))</f>
        <v>#DIV/0!</v>
      </c>
    </row>
    <row r="51" spans="1:96" ht="15" x14ac:dyDescent="0.25">
      <c r="A51" s="548" t="s">
        <v>23</v>
      </c>
      <c r="B51" s="545">
        <v>17</v>
      </c>
      <c r="C51" s="280">
        <v>170.32</v>
      </c>
      <c r="D51" s="280">
        <v>86.7</v>
      </c>
      <c r="E51" s="407">
        <v>94.181987473904002</v>
      </c>
      <c r="F51" s="407">
        <v>109.467923946873</v>
      </c>
      <c r="G51" s="407">
        <v>91.350469690589506</v>
      </c>
      <c r="H51" s="407"/>
      <c r="I51" s="541" t="s">
        <v>246</v>
      </c>
      <c r="J51" s="543">
        <v>23.95</v>
      </c>
      <c r="K51" s="407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>
        <v>47.3039750591076</v>
      </c>
      <c r="AL51" s="9">
        <v>266.23420094918799</v>
      </c>
      <c r="AM51" s="17"/>
      <c r="AN51" s="400">
        <v>296.72495091063303</v>
      </c>
      <c r="AO51" s="17">
        <v>16.813225097662801</v>
      </c>
      <c r="AP51" s="17"/>
      <c r="AQ51" s="400">
        <v>201.66274193872599</v>
      </c>
      <c r="AR51" s="17">
        <v>4.9594719573927302</v>
      </c>
      <c r="AS51" s="17"/>
      <c r="AT51" s="17">
        <v>0</v>
      </c>
      <c r="AU51" s="101">
        <v>9.4446592495249106</v>
      </c>
      <c r="AV51" s="17">
        <v>985</v>
      </c>
      <c r="AW51" s="102">
        <v>0</v>
      </c>
      <c r="AX51" s="1" t="e">
        <f>IF([1]Sheet11!$H$47&gt;=400,AT51,IF($J$137&lt;=200,((($H$119-($H$120*$H$121))/(($H$119-($H$120*$H$121*EXP(-$H$121*AW51)))))*(($J$136/($J$136+100))*$J$136))*7.5*(400/[1]Sheet11!$H$47),IF($J$137&lt;=250,((($H$119-($H$120*$H$121))/(($H$119-($H$120*$H$121*EXP(-$H$121*AW51)))))*(($J$136/($J$136+100))))*$J$136*7*(400/[1]Sheet11!$H$47),IF($J$137&lt;300,((($H$119-($H$120*$H$121))/(($H$119-($H$120*$H$121*EXP(-$H$121*AW51)))))*(($J$136/($J$136+100))))*$J$136*8*(400/[1]Sheet11!$H$47),IF(AND([1]Sheet11!$H$47&lt;=50,$J$137&gt;=300),((($H$119-($H$120*$H$121))/(($H$119-($H$120*$H$121*EXP(-$H$121*AW51)))))*(($J$136/($J$136+100))*$J$136))*(400/[1]Sheet11!$H$47),IF(AND([1]Sheet11!$H$47&gt;50,[1]Sheet11!$H$47&lt;=200,$J$137&gt;=300),((($H$119-($H$120*$H$121))/(($H$119-($H$120*$H$121*EXP(-$H$121*AW51)))))*(($J$136/($J$136+100))*$J$136))*3.5*(400/[1]Sheet11!$H$47))))))+2)</f>
        <v>#VALUE!</v>
      </c>
      <c r="AY51" s="1" t="e">
        <f t="shared" si="10"/>
        <v>#VALUE!</v>
      </c>
      <c r="AZ51" t="e">
        <f>IF([1]Sheet11!$H$47=400,((((AW51/AV51)/$G$129)*$G$129*60*[1]Sheet10!$AL$629*[1]Sheet11!$H$54/(($G$129*(AX51/14.7))))*1000),((((AW51/AV51)/$G$129)*$G$129*60*[1]Sheet10!$AL$629*[1]Sheet11!$H$54/(($G$129*(AX51*(400/[1]Sheet11!$H$47)/14.7))))*1000))</f>
        <v>#VALUE!</v>
      </c>
      <c r="BA51" t="e">
        <f>AZ51/[1]Sheet11!$H$47</f>
        <v>#VALUE!</v>
      </c>
      <c r="BB51" t="e">
        <f>IF($E$224&lt;=1,ABS(1/(([1]Sheet11!$H$54/AZ51)-(([1]Sheet11!$H$54)/[1]Sheet11!$H$47))),($E$224/(([1]Sheet11!$H$54/AZ51)-(([1]Sheet11!$H$54-BD51)/[1]Sheet11!$H$47))))</f>
        <v>#VALUE!</v>
      </c>
      <c r="BC51" t="e">
        <f>(BB51/[1]Sheet11!$H$47)</f>
        <v>#VALUE!</v>
      </c>
      <c r="BD51" t="e">
        <f>IF([1]Sheet11!$H$47=400,((AX51*4389120*($D$146^(1+$J$80))/($J$81*($D$150^$J$80)))*(1.26/(3+1/$J$80))^$J$80*AW51/$AW$70),((AX51*(400/[1]Sheet11!$H$47)*4389120*($D$146^(1+$J$80)))/($J$81*($D$150^$J$80)))*(1.3/(3+1/$J$80))^$J$80*AW51/$AW$70)</f>
        <v>#VALUE!</v>
      </c>
      <c r="BE51" t="e">
        <f>IF([1]Sheet11!$H$47=400,((AX51/14.7)*([1]Sheet11!$H$47/1000)*$G$129)/((AW51/'Oil-Based Mud 1'!AV51*60)*[1]Sheet10!$AL$629*([1]Sheet11!$H$54)),((AX51*(400/[1]Sheet11!$H$47)/14.7)*([1]Sheet11!$H$47/1000)*$G$129)/((AW51/'Oil-Based Mud 1'!AV51*60)*[1]Sheet10!$AL$629*([1]Sheet11!$H$54)))+1.6</f>
        <v>#VALUE!</v>
      </c>
      <c r="BF51" t="e">
        <f t="shared" si="6"/>
        <v>#DIV/0!</v>
      </c>
      <c r="BH51">
        <v>0.39810798251282198</v>
      </c>
      <c r="BJ51">
        <f>IF(AV51=0,"0",SQRT(((2*[1]Sheet11!$G$36/2*AV51)/[1]Sheet11!$H$48*((1-([1]Sheet10!$AL$625*[1]Sheet10!$AL$627))*[1]Sheet10!$AL$631/([1]Sheet10!$AL$628*[1]Sheet10!$AL$627))*60*39.37+([1]Sheet11!$G$36/2)^2)))</f>
        <v>17.094189546337244</v>
      </c>
      <c r="BM51" s="429">
        <f>((([1]Sheet11!$H$47/BU51)-1)*LN(BP51/([1]Sheet11!$G$36/2)))</f>
        <v>3.7506924249071294</v>
      </c>
      <c r="BO51" s="17">
        <v>1370</v>
      </c>
      <c r="BP51">
        <f>SQRT(((2*[1]Sheet11!$G$36/2*BO51)/[1]Sheet11!$H$48*((1-([1]Sheet10!$AL$625*[1]Sheet10!$AL$627))*[1]Sheet10!$AL$631/([1]Sheet10!$AL$628*[1]Sheet10!$AL$627))*60*39.37))</f>
        <v>19.847118811912654</v>
      </c>
      <c r="BQ51" s="428" t="e">
        <f t="shared" si="11"/>
        <v>#REF!</v>
      </c>
      <c r="BS51">
        <v>30.393488269454199</v>
      </c>
      <c r="BU51">
        <v>67</v>
      </c>
      <c r="BW51">
        <f>SQRT(((2*[1]Sheet11!$G$36/2*BO51)/[1]Sheet11!$H$48*((1-([1]Sheet10!$AM$625*[1]Sheet10!$AM$627))*[1]Sheet10!$AM$631/([1]Sheet10!$AM$628*[1]Sheet10!$AM$627))*60*39.37))</f>
        <v>37.884396743686558</v>
      </c>
      <c r="BX51">
        <f>SQRT(((2*[1]Sheet11!$G$36/2*BO51)/[1]Sheet11!$H$48*((1-([1]Sheet10!$AN$625*[1]Sheet10!$AN$627))*[1]Sheet10!$AN$631/([1]Sheet10!$AN$628*[1]Sheet10!$AN$627))*60*39.37))</f>
        <v>27.491211334029543</v>
      </c>
      <c r="BZ51" t="e">
        <f t="shared" ca="1" si="7"/>
        <v>#NAME?</v>
      </c>
      <c r="CA51" t="e">
        <f ca="1">(CE51*[1]Sheet10!$AL$629/(7.08*[1]Sheet11!$H$53*(CF51)))*1000*LN(([1]Sheet11!$H$52*12)/(BP51))</f>
        <v>#NAME?</v>
      </c>
      <c r="CB51" t="e">
        <f ca="1">LN(BP51/([1]Sheet11!$G$36/2))/((LN(([1]Sheet11!$H$52*12)/([1]Sheet11!$G$36/2))/CA51)-LN(([1]Sheet11!$H$52*12)/BP51)/[1]Sheet11!$H$47)</f>
        <v>#NAME?</v>
      </c>
      <c r="CC51" t="e">
        <f ca="1">((([1]Sheet11!$H$47/CB51)-1)*LN(BP51/([1]Sheet11!$G$36/2)))</f>
        <v>#NAME?</v>
      </c>
      <c r="CD51" t="e">
        <f t="shared" ca="1" si="8"/>
        <v>#NAME?</v>
      </c>
      <c r="CE51" t="e">
        <f t="shared" ca="1" si="9"/>
        <v>#NAME?</v>
      </c>
      <c r="CF51" t="e">
        <f ca="1">CE51*[1]Sheet10!$AL$629*LN([1]Sheet11!$H$52*12/([1]Sheet11!$G$36/2))/(0.00708*[1]Sheet11!$H$47*[1]Sheet11!$H$53)</f>
        <v>#NAME?</v>
      </c>
      <c r="CH51" s="17">
        <v>0</v>
      </c>
      <c r="CI51" s="17">
        <v>0</v>
      </c>
      <c r="CK51">
        <f>SQRT(((2*[1]Sheet11!$G$36/2*AV52)/[1]Sheet11!$H$48*((1-([1]Sheet10!$AL$625*[1]Sheet10!$AL$627))*[1]Sheet10!$AL$631/([1]Sheet10!$AL$628*[1]Sheet10!$AL$627))*60*39.37))</f>
        <v>17.662495127787327</v>
      </c>
      <c r="CM51" s="430">
        <v>0</v>
      </c>
      <c r="CN51" s="431">
        <v>4599786</v>
      </c>
      <c r="CO51" s="432">
        <v>0</v>
      </c>
      <c r="CP51" s="433">
        <v>0</v>
      </c>
      <c r="CR51" t="e">
        <f>((([1]Sheet11!$H$47/CH51)-0.8)*LN(CK51/([1]Sheet11!$G$36/2)))</f>
        <v>#DIV/0!</v>
      </c>
    </row>
    <row r="52" spans="1:96" ht="15" x14ac:dyDescent="0.25">
      <c r="A52" s="548" t="s">
        <v>25</v>
      </c>
      <c r="B52" s="545">
        <v>7</v>
      </c>
      <c r="C52" s="280">
        <v>10.219200000000001</v>
      </c>
      <c r="D52" s="280">
        <v>35.700000000000003</v>
      </c>
      <c r="E52" s="407">
        <v>58.384919248434201</v>
      </c>
      <c r="F52" s="407">
        <v>39.368207259857698</v>
      </c>
      <c r="G52" s="407">
        <v>34.461095394859001</v>
      </c>
      <c r="H52" s="407"/>
      <c r="I52" s="409" t="s">
        <v>244</v>
      </c>
      <c r="J52" s="412">
        <v>0.66048677927133104</v>
      </c>
      <c r="K52" s="407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Z52" s="17"/>
      <c r="AA52" s="17"/>
      <c r="AB52" s="17"/>
      <c r="AC52" s="17"/>
      <c r="AD52" s="17"/>
      <c r="AE52" s="17"/>
      <c r="AF52" s="17"/>
      <c r="AG52" s="17" t="s">
        <v>247</v>
      </c>
      <c r="AH52" s="17"/>
      <c r="AI52" s="17"/>
      <c r="AJ52" s="17"/>
      <c r="AK52" s="17">
        <v>46.818554487989097</v>
      </c>
      <c r="AL52" s="9">
        <v>266.71962152030699</v>
      </c>
      <c r="AM52" s="17"/>
      <c r="AN52" s="400">
        <v>297.21006084180601</v>
      </c>
      <c r="AO52" s="17">
        <v>16.328115166489798</v>
      </c>
      <c r="AP52" s="17"/>
      <c r="AQ52" s="400">
        <v>201.89653641544999</v>
      </c>
      <c r="AR52" s="17">
        <v>4.7256774806681996</v>
      </c>
      <c r="AS52" s="17"/>
      <c r="AT52" s="17">
        <v>0</v>
      </c>
      <c r="AU52" s="101">
        <v>9.92917504419386</v>
      </c>
      <c r="AV52" s="17">
        <v>1085</v>
      </c>
      <c r="AW52" s="102">
        <v>0</v>
      </c>
      <c r="AX52" s="1" t="e">
        <f>IF([1]Sheet11!$H$47&gt;=400,AT52,IF($J$137&lt;=200,((($H$119-($H$120*$H$121))/(($H$119-($H$120*$H$121*EXP(-$H$121*AW52)))))*(($J$136/($J$136+100))*$J$136))*7.5*(400/[1]Sheet11!$H$47),IF($J$137&lt;=250,((($H$119-($H$120*$H$121))/(($H$119-($H$120*$H$121*EXP(-$H$121*AW52)))))*(($J$136/($J$136+100))))*$J$136*7*(400/[1]Sheet11!$H$47),IF($J$137&lt;300,((($H$119-($H$120*$H$121))/(($H$119-($H$120*$H$121*EXP(-$H$121*AW52)))))*(($J$136/($J$136+100))))*$J$136*8*(400/[1]Sheet11!$H$47),IF(AND([1]Sheet11!$H$47&lt;=50,$J$137&gt;=300),((($H$119-($H$120*$H$121))/(($H$119-($H$120*$H$121*EXP(-$H$121*AW52)))))*(($J$136/($J$136+100))*$J$136))*(400/[1]Sheet11!$H$47),IF(AND([1]Sheet11!$H$47&gt;50,[1]Sheet11!$H$47&lt;=200,$J$137&gt;=300),((($H$119-($H$120*$H$121))/(($H$119-($H$120*$H$121*EXP(-$H$121*AW52)))))*(($J$136/($J$136+100))*$J$136))*3.5*(400/[1]Sheet11!$H$47))))))+2)</f>
        <v>#VALUE!</v>
      </c>
      <c r="AY52" s="1" t="e">
        <f t="shared" si="10"/>
        <v>#VALUE!</v>
      </c>
      <c r="AZ52" t="e">
        <f>IF([1]Sheet11!$H$47=400,((((AW52/AV52)/$G$129)*$G$129*60*[1]Sheet10!$AL$629*[1]Sheet11!$H$54/(($G$129*(AX52/14.7))))*1000),((((AW52/AV52)/$G$129)*$G$129*60*[1]Sheet10!$AL$629*[1]Sheet11!$H$54/(($G$129*(AX52*(400/[1]Sheet11!$H$47)/14.7))))*1000))</f>
        <v>#VALUE!</v>
      </c>
      <c r="BA52" t="e">
        <f>AZ52/[1]Sheet11!$H$47</f>
        <v>#VALUE!</v>
      </c>
      <c r="BB52" t="e">
        <f>IF($E$224&lt;=1,ABS(1/(([1]Sheet11!$H$54/AZ52)-(([1]Sheet11!$H$54)/[1]Sheet11!$H$47))),($E$224/(([1]Sheet11!$H$54/AZ52)-(([1]Sheet11!$H$54-BD52)/[1]Sheet11!$H$47))))</f>
        <v>#VALUE!</v>
      </c>
      <c r="BC52" t="e">
        <f>(BB52/[1]Sheet11!$H$47)</f>
        <v>#VALUE!</v>
      </c>
      <c r="BD52" t="e">
        <f>IF([1]Sheet11!$H$47=400,((AX52*4389120*($D$146^(1+$J$80))/($J$81*($D$150^$J$80)))*(1.26/(3+1/$J$80))^$J$80*AW52/$AW$70),((AX52*(400/[1]Sheet11!$H$47)*4389120*($D$146^(1+$J$80)))/($J$81*($D$150^$J$80)))*(1.3/(3+1/$J$80))^$J$80*AW52/$AW$70)</f>
        <v>#VALUE!</v>
      </c>
      <c r="BE52" t="e">
        <f>IF([1]Sheet11!$H$47=400,((AX52/14.7)*([1]Sheet11!$H$47/1000)*$G$129)/((AW52/'Oil-Based Mud 1'!AV52*60)*[1]Sheet10!$AL$629*([1]Sheet11!$H$54)),((AX52*(400/[1]Sheet11!$H$47)/14.7)*([1]Sheet11!$H$47/1000)*$G$129)/((AW52/'Oil-Based Mud 1'!AV52*60)*[1]Sheet10!$AL$629*([1]Sheet11!$H$54)))+1.6</f>
        <v>#VALUE!</v>
      </c>
      <c r="BF52" t="e">
        <f t="shared" si="6"/>
        <v>#DIV/0!</v>
      </c>
      <c r="BH52">
        <v>0.39458009153191298</v>
      </c>
      <c r="BJ52">
        <f>IF(AV52=0,"0",SQRT(((2*[1]Sheet11!$G$36/2*AV52)/[1]Sheet11!$H$48*((1-([1]Sheet10!$AL$625*[1]Sheet10!$AL$627))*[1]Sheet10!$AL$631/([1]Sheet10!$AL$628*[1]Sheet10!$AL$627))*60*39.37+([1]Sheet11!$G$36/2)^2)))</f>
        <v>17.915460757097794</v>
      </c>
      <c r="BM52" s="429">
        <f>((([1]Sheet11!$H$47/BU52)-1)*LN(BP52/([1]Sheet11!$G$36/2)))</f>
        <v>3.713790876913448</v>
      </c>
      <c r="BO52" s="17">
        <v>1320</v>
      </c>
      <c r="BP52">
        <f>SQRT(((2*[1]Sheet11!$G$36/2*BO52)/[1]Sheet11!$H$48*((1-([1]Sheet10!$AL$625*[1]Sheet10!$AL$627))*[1]Sheet10!$AL$631/([1]Sheet10!$AL$628*[1]Sheet10!$AL$627))*60*39.37))</f>
        <v>19.481578893602908</v>
      </c>
      <c r="BQ52" s="428" t="e">
        <f t="shared" si="11"/>
        <v>#REF!</v>
      </c>
      <c r="BS52">
        <v>30.6142243085704</v>
      </c>
      <c r="BU52">
        <v>67</v>
      </c>
      <c r="BW52">
        <f>SQRT(((2*[1]Sheet11!$G$36/2*BO52)/[1]Sheet11!$H$48*((1-([1]Sheet10!$AM$625*[1]Sheet10!$AM$627))*[1]Sheet10!$AM$631/([1]Sheet10!$AM$628*[1]Sheet10!$AM$627))*60*39.37))</f>
        <v>37.186650162828222</v>
      </c>
      <c r="BX52">
        <f>SQRT(((2*[1]Sheet11!$G$36/2*BO52)/[1]Sheet11!$H$48*((1-([1]Sheet10!$AN$625*[1]Sheet10!$AN$627))*[1]Sheet10!$AN$631/([1]Sheet10!$AN$628*[1]Sheet10!$AN$627))*60*39.37))</f>
        <v>26.984884181937048</v>
      </c>
      <c r="BZ52" t="e">
        <f t="shared" ca="1" si="7"/>
        <v>#NAME?</v>
      </c>
      <c r="CA52" t="e">
        <f ca="1">(CE52*[1]Sheet10!$AL$629/(7.08*[1]Sheet11!$H$53*(CF52)))*1000*LN(([1]Sheet11!$H$52*12)/(BP52))</f>
        <v>#NAME?</v>
      </c>
      <c r="CB52" t="e">
        <f ca="1">LN(BP52/([1]Sheet11!$G$36/2))/((LN(([1]Sheet11!$H$52*12)/([1]Sheet11!$G$36/2))/CA52)-LN(([1]Sheet11!$H$52*12)/BP52)/[1]Sheet11!$H$47)</f>
        <v>#NAME?</v>
      </c>
      <c r="CC52" t="e">
        <f ca="1">((([1]Sheet11!$H$47/CB52)-1)*LN(BP52/([1]Sheet11!$G$36/2)))</f>
        <v>#NAME?</v>
      </c>
      <c r="CD52" t="e">
        <f t="shared" ca="1" si="8"/>
        <v>#NAME?</v>
      </c>
      <c r="CE52" t="e">
        <f t="shared" ca="1" si="9"/>
        <v>#NAME?</v>
      </c>
      <c r="CF52" t="e">
        <f ca="1">CE52*[1]Sheet10!$AL$629*LN([1]Sheet11!$H$52*12/([1]Sheet11!$G$36/2))/(0.00708*[1]Sheet11!$H$47*[1]Sheet11!$H$53)</f>
        <v>#NAME?</v>
      </c>
      <c r="CH52" s="17">
        <v>0</v>
      </c>
      <c r="CI52" s="17">
        <v>0</v>
      </c>
      <c r="CK52">
        <f>SQRT(((2*[1]Sheet11!$G$36/2*AV53)/[1]Sheet11!$H$48*((1-([1]Sheet10!$AL$625*[1]Sheet10!$AL$627))*[1]Sheet10!$AL$631/([1]Sheet10!$AL$628*[1]Sheet10!$AL$627))*60*39.37))</f>
        <v>18.458498097952518</v>
      </c>
      <c r="CM52" s="430">
        <v>0</v>
      </c>
      <c r="CN52" s="431">
        <v>4599786</v>
      </c>
      <c r="CO52" s="432">
        <v>0</v>
      </c>
      <c r="CP52" s="433">
        <v>0</v>
      </c>
      <c r="CR52" t="e">
        <f>((([1]Sheet11!$H$47/CH52)-0.8)*LN(CK52/([1]Sheet11!$G$36/2)))</f>
        <v>#DIV/0!</v>
      </c>
    </row>
    <row r="53" spans="1:96" ht="15" x14ac:dyDescent="0.25">
      <c r="A53" s="548" t="s">
        <v>28</v>
      </c>
      <c r="B53" s="545">
        <v>6</v>
      </c>
      <c r="C53" s="549">
        <v>5.1096000000000004</v>
      </c>
      <c r="D53" s="550">
        <v>30.6</v>
      </c>
      <c r="E53" s="407">
        <v>57.242459624217098</v>
      </c>
      <c r="F53" s="407">
        <v>30.6</v>
      </c>
      <c r="G53" s="407">
        <v>30.6</v>
      </c>
      <c r="H53" s="407"/>
      <c r="I53" s="413" t="s">
        <v>248</v>
      </c>
      <c r="J53" s="415">
        <v>226.433907528194</v>
      </c>
      <c r="K53" s="407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>
        <v>46.37989339085</v>
      </c>
      <c r="AL53" s="9">
        <v>267.15828261744599</v>
      </c>
      <c r="AM53" s="17"/>
      <c r="AN53" s="400">
        <v>297.65546629371102</v>
      </c>
      <c r="AO53" s="17">
        <v>15.882709714584999</v>
      </c>
      <c r="AP53" s="17"/>
      <c r="AQ53" s="400">
        <v>202.100106396451</v>
      </c>
      <c r="AR53" s="17">
        <v>4.5221074996673298</v>
      </c>
      <c r="AS53" s="17"/>
      <c r="AT53" s="17">
        <v>0</v>
      </c>
      <c r="AU53" s="101">
        <v>10.3918563845478</v>
      </c>
      <c r="AV53" s="17">
        <v>1185</v>
      </c>
      <c r="AW53" s="102">
        <v>0</v>
      </c>
      <c r="AX53" s="1" t="e">
        <f>IF([1]Sheet11!$H$47&gt;=400,AT53,IF($J$137&lt;=200,((($H$119-($H$120*$H$121))/(($H$119-($H$120*$H$121*EXP(-$H$121*AW53)))))*(($J$136/($J$136+100))*$J$136))*7.5*(400/[1]Sheet11!$H$47),IF($J$137&lt;=250,((($H$119-($H$120*$H$121))/(($H$119-($H$120*$H$121*EXP(-$H$121*AW53)))))*(($J$136/($J$136+100))))*$J$136*7*(400/[1]Sheet11!$H$47),IF($J$137&lt;300,((($H$119-($H$120*$H$121))/(($H$119-($H$120*$H$121*EXP(-$H$121*AW53)))))*(($J$136/($J$136+100))))*$J$136*8*(400/[1]Sheet11!$H$47),IF(AND([1]Sheet11!$H$47&lt;=50,$J$137&gt;=300),((($H$119-($H$120*$H$121))/(($H$119-($H$120*$H$121*EXP(-$H$121*AW53)))))*(($J$136/($J$136+100))*$J$136))*(400/[1]Sheet11!$H$47),IF(AND([1]Sheet11!$H$47&gt;50,[1]Sheet11!$H$47&lt;=200,$J$137&gt;=300),((($H$119-($H$120*$H$121))/(($H$119-($H$120*$H$121*EXP(-$H$121*AW53)))))*(($J$136/($J$136+100))*$J$136))*3.5*(400/[1]Sheet11!$H$47))))))+2)</f>
        <v>#VALUE!</v>
      </c>
      <c r="AY53" s="1" t="e">
        <f t="shared" si="10"/>
        <v>#VALUE!</v>
      </c>
      <c r="AZ53" t="e">
        <f>IF([1]Sheet11!$H$47=400,((((AW53/AV53)/$G$129)*$G$129*60*[1]Sheet10!$AL$629*[1]Sheet11!$H$54/(($G$129*(AX53/14.7))))*1000),((((AW53/AV53)/$G$129)*$G$129*60*[1]Sheet10!$AL$629*[1]Sheet11!$H$54/(($G$129*(AX53*(400/[1]Sheet11!$H$47)/14.7))))*1000))</f>
        <v>#VALUE!</v>
      </c>
      <c r="BA53" t="e">
        <f>AZ53/[1]Sheet11!$H$47</f>
        <v>#VALUE!</v>
      </c>
      <c r="BB53" t="e">
        <f>IF($E$224&lt;=1,ABS(1/(([1]Sheet11!$H$54/AZ53)-(([1]Sheet11!$H$54)/[1]Sheet11!$H$47))),($E$224/(([1]Sheet11!$H$54/AZ53)-(([1]Sheet11!$H$54-BD53)/[1]Sheet11!$H$47))))</f>
        <v>#VALUE!</v>
      </c>
      <c r="BC53" t="e">
        <f>(BB53/[1]Sheet11!$H$47)</f>
        <v>#VALUE!</v>
      </c>
      <c r="BD53" t="e">
        <f>IF([1]Sheet11!$H$47=400,((AX53*4389120*($D$146^(1+$J$80))/($J$81*($D$150^$J$80)))*(1.26/(3+1/$J$80))^$J$80*AW53/$AW$70),((AX53*(400/[1]Sheet11!$H$47)*4389120*($D$146^(1+$J$80)))/($J$81*($D$150^$J$80)))*(1.3/(3+1/$J$80))^$J$80*AW53/$AW$70)</f>
        <v>#VALUE!</v>
      </c>
      <c r="BE53" t="e">
        <f>IF([1]Sheet11!$H$47=400,((AX53/14.7)*([1]Sheet11!$H$47/1000)*$G$129)/((AW53/'Oil-Based Mud 1'!AV53*60)*[1]Sheet10!$AL$629*([1]Sheet11!$H$54)),((AX53*(400/[1]Sheet11!$H$47)/14.7)*([1]Sheet11!$H$47/1000)*$G$129)/((AW53/'Oil-Based Mud 1'!AV53*60)*[1]Sheet10!$AL$629*([1]Sheet11!$H$54)))+1.6</f>
        <v>#VALUE!</v>
      </c>
      <c r="BF53" t="e">
        <f t="shared" si="6"/>
        <v>#DIV/0!</v>
      </c>
      <c r="BH53">
        <v>0.39121520847164098</v>
      </c>
      <c r="BJ53">
        <f>IF(AV53=0,"0",SQRT(((2*[1]Sheet11!$G$36/2*AV53)/[1]Sheet11!$H$48*((1-([1]Sheet10!$AL$625*[1]Sheet10!$AL$627))*[1]Sheet10!$AL$631/([1]Sheet10!$AL$628*[1]Sheet10!$AL$627))*60*39.37+([1]Sheet11!$G$36/2)^2)))</f>
        <v>18.700699239122496</v>
      </c>
      <c r="BM53" s="429">
        <f>((([1]Sheet11!$H$47/BU53)-1)*LN(BP53/([1]Sheet11!$G$36/2)))</f>
        <v>3.6754642112045324</v>
      </c>
      <c r="BO53" s="17">
        <v>1270</v>
      </c>
      <c r="BP53">
        <f>SQRT(((2*[1]Sheet11!$G$36/2*BO53)/[1]Sheet11!$H$48*((1-([1]Sheet10!$AL$625*[1]Sheet10!$AL$627))*[1]Sheet10!$AL$631/([1]Sheet10!$AL$628*[1]Sheet10!$AL$627))*60*39.37))</f>
        <v>19.109047784784345</v>
      </c>
      <c r="BQ53" s="428" t="e">
        <f t="shared" si="11"/>
        <v>#REF!</v>
      </c>
      <c r="BS53">
        <v>30.844635590665</v>
      </c>
      <c r="BU53">
        <v>67</v>
      </c>
      <c r="BW53">
        <f>SQRT(((2*[1]Sheet11!$G$36/2*BO53)/[1]Sheet11!$H$48*((1-([1]Sheet10!$AM$625*[1]Sheet10!$AM$627))*[1]Sheet10!$AM$631/([1]Sheet10!$AM$628*[1]Sheet10!$AM$627))*60*39.37))</f>
        <v>36.475558721314961</v>
      </c>
      <c r="BX53">
        <f>SQRT(((2*[1]Sheet11!$G$36/2*BO53)/[1]Sheet11!$H$48*((1-([1]Sheet10!$AN$625*[1]Sheet10!$AN$627))*[1]Sheet10!$AN$631/([1]Sheet10!$AN$628*[1]Sheet10!$AN$627))*60*39.37))</f>
        <v>26.468873191219117</v>
      </c>
      <c r="BZ53" t="e">
        <f t="shared" ca="1" si="7"/>
        <v>#NAME?</v>
      </c>
      <c r="CA53" t="e">
        <f ca="1">(CE53*[1]Sheet10!$AL$629/(7.08*[1]Sheet11!$H$53*(CF53)))*1000*LN(([1]Sheet11!$H$52*12)/(BP53))</f>
        <v>#NAME?</v>
      </c>
      <c r="CB53" t="e">
        <f ca="1">LN(BP53/([1]Sheet11!$G$36/2))/((LN(([1]Sheet11!$H$52*12)/([1]Sheet11!$G$36/2))/CA53)-LN(([1]Sheet11!$H$52*12)/BP53)/[1]Sheet11!$H$47)</f>
        <v>#NAME?</v>
      </c>
      <c r="CC53" t="e">
        <f ca="1">((([1]Sheet11!$H$47/CB53)-1)*LN(BP53/([1]Sheet11!$G$36/2)))</f>
        <v>#NAME?</v>
      </c>
      <c r="CD53" t="e">
        <f t="shared" ca="1" si="8"/>
        <v>#NAME?</v>
      </c>
      <c r="CE53" t="e">
        <f t="shared" ca="1" si="9"/>
        <v>#NAME?</v>
      </c>
      <c r="CF53" t="e">
        <f ca="1">CE53*[1]Sheet10!$AL$629*LN([1]Sheet11!$H$52*12/([1]Sheet11!$G$36/2))/(0.00708*[1]Sheet11!$H$47*[1]Sheet11!$H$53)</f>
        <v>#NAME?</v>
      </c>
      <c r="CH53" s="17">
        <v>0</v>
      </c>
      <c r="CI53" s="17">
        <v>0</v>
      </c>
      <c r="CK53">
        <f>SQRT(((2*[1]Sheet11!$G$36/2*AV54)/[1]Sheet11!$H$48*((1-([1]Sheet10!$AL$625*[1]Sheet10!$AL$627))*[1]Sheet10!$AL$631/([1]Sheet10!$AL$628*[1]Sheet10!$AL$627))*60*39.37))</f>
        <v>19.221565230883837</v>
      </c>
      <c r="CM53" s="430">
        <v>0</v>
      </c>
      <c r="CN53" s="431">
        <v>4599786</v>
      </c>
      <c r="CO53" s="432">
        <v>0</v>
      </c>
      <c r="CP53" s="433">
        <v>0</v>
      </c>
      <c r="CR53" t="e">
        <f>((([1]Sheet11!$H$47/CH53)-0.8)*LN(CK53/([1]Sheet11!$G$36/2)))</f>
        <v>#DIV/0!</v>
      </c>
    </row>
    <row r="54" spans="1:96" ht="15" x14ac:dyDescent="0.25">
      <c r="A54" s="407"/>
      <c r="B54" s="407"/>
      <c r="C54" s="407"/>
      <c r="D54" s="551" t="s">
        <v>30</v>
      </c>
      <c r="E54" s="552">
        <v>0.1</v>
      </c>
      <c r="F54" s="552">
        <v>0.2</v>
      </c>
      <c r="G54" s="553">
        <v>5</v>
      </c>
      <c r="H54" s="407"/>
      <c r="I54" s="407"/>
      <c r="J54" s="407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>
        <v>45.981795865366003</v>
      </c>
      <c r="AL54" s="9">
        <v>267.55638014292998</v>
      </c>
      <c r="AM54" s="17"/>
      <c r="AN54" s="400">
        <v>298.06630371453099</v>
      </c>
      <c r="AO54" s="17">
        <v>15.471872293764999</v>
      </c>
      <c r="AP54" s="17"/>
      <c r="AQ54" s="400">
        <v>202.27944899265901</v>
      </c>
      <c r="AR54" s="17">
        <v>4.3427649034598703</v>
      </c>
      <c r="AS54" s="17"/>
      <c r="AT54" s="17">
        <v>0</v>
      </c>
      <c r="AU54" s="101">
        <v>10.835413408013499</v>
      </c>
      <c r="AV54" s="17">
        <v>1285</v>
      </c>
      <c r="AW54" s="102">
        <v>0</v>
      </c>
      <c r="AX54" s="1" t="e">
        <f>IF([1]Sheet11!$H$47&gt;=400,AT54,IF($J$137&lt;=200,((($H$119-($H$120*$H$121))/(($H$119-($H$120*$H$121*EXP(-$H$121*AW54)))))*(($J$136/($J$136+100))*$J$136))*7.5*(400/[1]Sheet11!$H$47),IF($J$137&lt;=250,((($H$119-($H$120*$H$121))/(($H$119-($H$120*$H$121*EXP(-$H$121*AW54)))))*(($J$136/($J$136+100))))*$J$136*7*(400/[1]Sheet11!$H$47),IF($J$137&lt;300,((($H$119-($H$120*$H$121))/(($H$119-($H$120*$H$121*EXP(-$H$121*AW54)))))*(($J$136/($J$136+100))))*$J$136*8*(400/[1]Sheet11!$H$47),IF(AND([1]Sheet11!$H$47&lt;=50,$J$137&gt;=300),((($H$119-($H$120*$H$121))/(($H$119-($H$120*$H$121*EXP(-$H$121*AW54)))))*(($J$136/($J$136+100))*$J$136))*(400/[1]Sheet11!$H$47),IF(AND([1]Sheet11!$H$47&gt;50,[1]Sheet11!$H$47&lt;=200,$J$137&gt;=300),((($H$119-($H$120*$H$121))/(($H$119-($H$120*$H$121*EXP(-$H$121*AW54)))))*(($J$136/($J$136+100))*$J$136))*3.5*(400/[1]Sheet11!$H$47))))))+2)</f>
        <v>#VALUE!</v>
      </c>
      <c r="AY54" s="1" t="e">
        <f t="shared" si="10"/>
        <v>#VALUE!</v>
      </c>
      <c r="AZ54" t="e">
        <f>IF([1]Sheet11!$H$47=400,((((AW54/AV54)/$G$129)*$G$129*60*[1]Sheet10!$AL$629*[1]Sheet11!$H$54/(($G$129*(AX54/14.7))))*1000),((((AW54/AV54)/$G$129)*$G$129*60*[1]Sheet10!$AL$629*[1]Sheet11!$H$54/(($G$129*(AX54*(400/[1]Sheet11!$H$47)/14.7))))*1000))</f>
        <v>#VALUE!</v>
      </c>
      <c r="BA54" t="e">
        <f>AZ54/[1]Sheet11!$H$47</f>
        <v>#VALUE!</v>
      </c>
      <c r="BB54" t="e">
        <f>IF($E$224&lt;=1,ABS(1/(([1]Sheet11!$H$54/AZ54)-(([1]Sheet11!$H$54)/[1]Sheet11!$H$47))),($E$224/(([1]Sheet11!$H$54/AZ54)-(([1]Sheet11!$H$54-BD54)/[1]Sheet11!$H$47))))</f>
        <v>#VALUE!</v>
      </c>
      <c r="BC54" t="e">
        <f>(BB54/[1]Sheet11!$H$47)</f>
        <v>#VALUE!</v>
      </c>
      <c r="BD54" t="e">
        <f>IF([1]Sheet11!$H$47=400,((AX54*4389120*($D$146^(1+$J$80))/($J$81*($D$150^$J$80)))*(1.26/(3+1/$J$80))^$J$80*AW54/$AW$70),((AX54*(400/[1]Sheet11!$H$47)*4389120*($D$146^(1+$J$80)))/($J$81*($D$150^$J$80)))*(1.3/(3+1/$J$80))^$J$80*AW54/$AW$70)</f>
        <v>#VALUE!</v>
      </c>
      <c r="BE54" t="e">
        <f>IF([1]Sheet11!$H$47=400,((AX54/14.7)*([1]Sheet11!$H$47/1000)*$G$129)/((AW54/'Oil-Based Mud 1'!AV54*60)*[1]Sheet10!$AL$629*([1]Sheet11!$H$54)),((AX54*(400/[1]Sheet11!$H$47)/14.7)*([1]Sheet11!$H$47/1000)*$G$129)/((AW54/'Oil-Based Mud 1'!AV54*60)*[1]Sheet10!$AL$629*([1]Sheet11!$H$54)))+1.6</f>
        <v>#VALUE!</v>
      </c>
      <c r="BF54" t="e">
        <f t="shared" si="6"/>
        <v>#DIV/0!</v>
      </c>
      <c r="BH54">
        <v>0.38800107742982098</v>
      </c>
      <c r="BJ54">
        <f>IF(AV54=0,"0",SQRT(((2*[1]Sheet11!$G$36/2*AV54)/[1]Sheet11!$H$48*((1-([1]Sheet10!$AL$625*[1]Sheet10!$AL$627))*[1]Sheet10!$AL$631/([1]Sheet10!$AL$628*[1]Sheet10!$AL$627))*60*39.37+([1]Sheet11!$G$36/2)^2)))</f>
        <v>19.454268681323448</v>
      </c>
      <c r="BM54" s="429">
        <f>((([1]Sheet11!$H$47/BU54)-1)*LN(BP54/([1]Sheet11!$G$36/2)))</f>
        <v>3.6355979160592375</v>
      </c>
      <c r="BO54" s="17">
        <v>1220</v>
      </c>
      <c r="BP54">
        <f>SQRT(((2*[1]Sheet11!$G$36/2*BO54)/[1]Sheet11!$H$48*((1-([1]Sheet10!$AL$625*[1]Sheet10!$AL$627))*[1]Sheet10!$AL$631/([1]Sheet10!$AL$628*[1]Sheet10!$AL$627))*60*39.37))</f>
        <v>18.729108315525028</v>
      </c>
      <c r="BQ54" s="428" t="e">
        <f t="shared" si="11"/>
        <v>#REF!</v>
      </c>
      <c r="BS54">
        <v>31.085728276010201</v>
      </c>
      <c r="BU54">
        <v>67</v>
      </c>
      <c r="BW54">
        <f>SQRT(((2*[1]Sheet11!$G$36/2*BO54)/[1]Sheet11!$H$48*((1-([1]Sheet10!$AM$625*[1]Sheet10!$AM$627))*[1]Sheet10!$AM$631/([1]Sheet10!$AM$628*[1]Sheet10!$AM$627))*60*39.37))</f>
        <v>35.750326120633083</v>
      </c>
      <c r="BX54">
        <f>SQRT(((2*[1]Sheet11!$G$36/2*BO54)/[1]Sheet11!$H$48*((1-([1]Sheet10!$AN$625*[1]Sheet10!$AN$627))*[1]Sheet10!$AN$631/([1]Sheet10!$AN$628*[1]Sheet10!$AN$627))*60*39.37))</f>
        <v>25.942600519476073</v>
      </c>
      <c r="BZ54" t="e">
        <f t="shared" ca="1" si="7"/>
        <v>#NAME?</v>
      </c>
      <c r="CA54" t="e">
        <f ca="1">(CE54*[1]Sheet10!$AL$629/(7.08*[1]Sheet11!$H$53*(CF54)))*1000*LN(([1]Sheet11!$H$52*12)/(BP54))</f>
        <v>#NAME?</v>
      </c>
      <c r="CB54" t="e">
        <f ca="1">LN(BP54/([1]Sheet11!$G$36/2))/((LN(([1]Sheet11!$H$52*12)/([1]Sheet11!$G$36/2))/CA54)-LN(([1]Sheet11!$H$52*12)/BP54)/[1]Sheet11!$H$47)</f>
        <v>#NAME?</v>
      </c>
      <c r="CC54" t="e">
        <f ca="1">((([1]Sheet11!$H$47/CB54)-1)*LN(BP54/([1]Sheet11!$G$36/2)))</f>
        <v>#NAME?</v>
      </c>
      <c r="CD54" t="e">
        <f t="shared" ca="1" si="8"/>
        <v>#NAME?</v>
      </c>
      <c r="CE54" t="e">
        <f t="shared" ca="1" si="9"/>
        <v>#NAME?</v>
      </c>
      <c r="CF54" t="e">
        <f ca="1">CE54*[1]Sheet10!$AL$629*LN([1]Sheet11!$H$52*12/([1]Sheet11!$G$36/2))/(0.00708*[1]Sheet11!$H$47*[1]Sheet11!$H$53)</f>
        <v>#NAME?</v>
      </c>
      <c r="CH54" s="17">
        <v>0</v>
      </c>
      <c r="CI54" s="17">
        <v>0</v>
      </c>
      <c r="CK54">
        <f>SQRT(((2*[1]Sheet11!$G$36/2*AV55)/[1]Sheet11!$H$48*((1-([1]Sheet10!$AL$625*[1]Sheet10!$AL$627))*[1]Sheet10!$AL$631/([1]Sheet10!$AL$628*[1]Sheet10!$AL$627))*60*39.37))</f>
        <v>19.955475133860581</v>
      </c>
      <c r="CM54" s="430">
        <v>0</v>
      </c>
      <c r="CN54" s="431">
        <v>4599786</v>
      </c>
      <c r="CO54" s="432">
        <v>0</v>
      </c>
      <c r="CP54" s="433">
        <v>0</v>
      </c>
      <c r="CR54" t="e">
        <f>((([1]Sheet11!$H$47/CH54)-0.8)*LN(CK54/([1]Sheet11!$G$36/2)))</f>
        <v>#DIV/0!</v>
      </c>
    </row>
    <row r="55" spans="1:96" ht="15" x14ac:dyDescent="0.25">
      <c r="A55" s="407"/>
      <c r="B55" s="407"/>
      <c r="C55" s="407"/>
      <c r="D55" s="407"/>
      <c r="E55" s="407"/>
      <c r="F55" s="407"/>
      <c r="G55" s="407"/>
      <c r="H55" s="407"/>
      <c r="I55" s="407"/>
      <c r="J55" s="407"/>
      <c r="K55" s="407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>
        <v>45.619137449616801</v>
      </c>
      <c r="AL55" s="9">
        <v>267.91903855867901</v>
      </c>
      <c r="AM55" s="17"/>
      <c r="AN55" s="400">
        <v>298.44682495264999</v>
      </c>
      <c r="AO55" s="17">
        <v>15.0913510556456</v>
      </c>
      <c r="AP55" s="17"/>
      <c r="AQ55" s="400">
        <v>202.43901755100401</v>
      </c>
      <c r="AR55" s="17">
        <v>4.1831963451143199</v>
      </c>
      <c r="AS55" s="17"/>
      <c r="AT55" s="17">
        <v>0</v>
      </c>
      <c r="AU55" s="101">
        <v>11.2620380748822</v>
      </c>
      <c r="AV55" s="17">
        <v>1385</v>
      </c>
      <c r="AW55" s="102">
        <v>0</v>
      </c>
      <c r="AX55" s="1" t="e">
        <f>IF([1]Sheet11!$H$47&gt;=400,AT55,IF($J$137&lt;=200,((($H$119-($H$120*$H$121))/(($H$119-($H$120*$H$121*EXP(-$H$121*AW55)))))*(($J$136/($J$136+100))*$J$136))*7.5*(400/[1]Sheet11!$H$47),IF($J$137&lt;=250,((($H$119-($H$120*$H$121))/(($H$119-($H$120*$H$121*EXP(-$H$121*AW55)))))*(($J$136/($J$136+100))))*$J$136*7*(400/[1]Sheet11!$H$47),IF($J$137&lt;300,((($H$119-($H$120*$H$121))/(($H$119-($H$120*$H$121*EXP(-$H$121*AW55)))))*(($J$136/($J$136+100))))*$J$136*8*(400/[1]Sheet11!$H$47),IF(AND([1]Sheet11!$H$47&lt;=50,$J$137&gt;=300),((($H$119-($H$120*$H$121))/(($H$119-($H$120*$H$121*EXP(-$H$121*AW55)))))*(($J$136/($J$136+100))*$J$136))*(400/[1]Sheet11!$H$47),IF(AND([1]Sheet11!$H$47&gt;50,[1]Sheet11!$H$47&lt;=200,$J$137&gt;=300),((($H$119-($H$120*$H$121))/(($H$119-($H$120*$H$121*EXP(-$H$121*AW55)))))*(($J$136/($J$136+100))*$J$136))*3.5*(400/[1]Sheet11!$H$47))))))+2)</f>
        <v>#VALUE!</v>
      </c>
      <c r="AY55" s="1" t="e">
        <f t="shared" si="10"/>
        <v>#VALUE!</v>
      </c>
      <c r="AZ55" t="e">
        <f>IF([1]Sheet11!$H$47=400,((((AW55/AV55)/$G$129)*$G$129*60*[1]Sheet10!$AL$629*[1]Sheet11!$H$54/(($G$129*(AX55/14.7))))*1000),((((AW55/AV55)/$G$129)*$G$129*60*[1]Sheet10!$AL$629*[1]Sheet11!$H$54/(($G$129*(AX55*(400/[1]Sheet11!$H$47)/14.7))))*1000))</f>
        <v>#VALUE!</v>
      </c>
      <c r="BA55" t="e">
        <f>AZ55/[1]Sheet11!$H$47</f>
        <v>#VALUE!</v>
      </c>
      <c r="BB55" t="e">
        <f>IF($E$224&lt;=1,ABS(1/(([1]Sheet11!$H$54/AZ55)-(([1]Sheet11!$H$54)/[1]Sheet11!$H$47))),($E$224/(([1]Sheet11!$H$54/AZ55)-(([1]Sheet11!$H$54-BD55)/[1]Sheet11!$H$47))))</f>
        <v>#VALUE!</v>
      </c>
      <c r="BC55" t="e">
        <f>(BB55/[1]Sheet11!$H$47)</f>
        <v>#VALUE!</v>
      </c>
      <c r="BD55" t="e">
        <f>IF([1]Sheet11!$H$47=400,((AX55*4389120*($D$146^(1+$J$80))/($J$81*($D$150^$J$80)))*(1.26/(3+1/$J$80))^$J$80*AW55/$AW$70),((AX55*(400/[1]Sheet11!$H$47)*4389120*($D$146^(1+$J$80)))/($J$81*($D$150^$J$80)))*(1.3/(3+1/$J$80))^$J$80*AW55/$AW$70)</f>
        <v>#VALUE!</v>
      </c>
      <c r="BE55" t="e">
        <f>IF([1]Sheet11!$H$47=400,((AX55/14.7)*([1]Sheet11!$H$47/1000)*$G$129)/((AW55/'Oil-Based Mud 1'!AV55*60)*[1]Sheet10!$AL$629*([1]Sheet11!$H$54)),((AX55*(400/[1]Sheet11!$H$47)/14.7)*([1]Sheet11!$H$47/1000)*$G$129)/((AW55/'Oil-Based Mud 1'!AV55*60)*[1]Sheet10!$AL$629*([1]Sheet11!$H$54)))+1.6</f>
        <v>#VALUE!</v>
      </c>
      <c r="BF55" t="e">
        <f t="shared" si="6"/>
        <v>#DIV/0!</v>
      </c>
      <c r="BH55">
        <v>0.38492668182661499</v>
      </c>
      <c r="BJ55">
        <f>IF(AV55=0,"0",SQRT(((2*[1]Sheet11!$G$36/2*AV55)/[1]Sheet11!$H$48*((1-([1]Sheet10!$AL$625*[1]Sheet10!$AL$627))*[1]Sheet10!$AL$631/([1]Sheet10!$AL$628*[1]Sheet10!$AL$627))*60*39.37+([1]Sheet11!$G$36/2)^2)))</f>
        <v>20.179717238309561</v>
      </c>
      <c r="BM55" s="429">
        <f>((([1]Sheet11!$H$47/BU55)-1)*LN(BP55/([1]Sheet11!$G$36/2)))</f>
        <v>3.5940630979889274</v>
      </c>
      <c r="BO55" s="17">
        <v>1170</v>
      </c>
      <c r="BP55">
        <f>SQRT(((2*[1]Sheet11!$G$36/2*BO55)/[1]Sheet11!$H$48*((1-([1]Sheet10!$AL$625*[1]Sheet10!$AL$627))*[1]Sheet10!$AL$631/([1]Sheet10!$AL$628*[1]Sheet10!$AL$627))*60*39.37))</f>
        <v>18.341300099724826</v>
      </c>
      <c r="BQ55" s="428" t="e">
        <f t="shared" si="11"/>
        <v>#REF!</v>
      </c>
      <c r="BS55">
        <v>31.3386167173975</v>
      </c>
      <c r="BU55">
        <v>67</v>
      </c>
      <c r="BW55">
        <f>SQRT(((2*[1]Sheet11!$G$36/2*BO55)/[1]Sheet11!$H$48*((1-([1]Sheet10!$AM$625*[1]Sheet10!$AM$627))*[1]Sheet10!$AM$631/([1]Sheet10!$AM$628*[1]Sheet10!$AM$627))*60*39.37))</f>
        <v>35.010073570775937</v>
      </c>
      <c r="BX55">
        <f>SQRT(((2*[1]Sheet11!$G$36/2*BO55)/[1]Sheet11!$H$48*((1-([1]Sheet10!$AN$625*[1]Sheet10!$AN$627))*[1]Sheet10!$AN$631/([1]Sheet10!$AN$628*[1]Sheet10!$AN$627))*60*39.37))</f>
        <v>25.405428463487922</v>
      </c>
      <c r="BZ55" t="e">
        <f t="shared" ca="1" si="7"/>
        <v>#NAME?</v>
      </c>
      <c r="CA55" t="e">
        <f ca="1">(CE55*[1]Sheet10!$AL$629/(7.08*[1]Sheet11!$H$53*(CF55)))*1000*LN(([1]Sheet11!$H$52*12)/(BP55))</f>
        <v>#NAME?</v>
      </c>
      <c r="CB55" t="e">
        <f ca="1">LN(BP55/([1]Sheet11!$G$36/2))/((LN(([1]Sheet11!$H$52*12)/([1]Sheet11!$G$36/2))/CA55)-LN(([1]Sheet11!$H$52*12)/BP55)/[1]Sheet11!$H$47)</f>
        <v>#NAME?</v>
      </c>
      <c r="CC55" t="e">
        <f ca="1">((([1]Sheet11!$H$47/CB55)-1)*LN(BP55/([1]Sheet11!$G$36/2)))</f>
        <v>#NAME?</v>
      </c>
      <c r="CD55" t="e">
        <f t="shared" ca="1" si="8"/>
        <v>#NAME?</v>
      </c>
      <c r="CE55" t="e">
        <f t="shared" ca="1" si="9"/>
        <v>#NAME?</v>
      </c>
      <c r="CF55" t="e">
        <f ca="1">CE55*[1]Sheet10!$AL$629*LN([1]Sheet11!$H$52*12/([1]Sheet11!$G$36/2))/(0.00708*[1]Sheet11!$H$47*[1]Sheet11!$H$53)</f>
        <v>#NAME?</v>
      </c>
      <c r="CH55" s="17">
        <v>0</v>
      </c>
      <c r="CI55" s="17">
        <v>0</v>
      </c>
      <c r="CK55">
        <f>SQRT(((2*[1]Sheet11!$G$36/2*AV56)/[1]Sheet11!$H$48*((1-([1]Sheet10!$AL$625*[1]Sheet10!$AL$627))*[1]Sheet10!$AL$631/([1]Sheet10!$AL$628*[1]Sheet10!$AL$627))*60*39.37))</f>
        <v>20.663334815831</v>
      </c>
      <c r="CM55" s="430">
        <v>0</v>
      </c>
      <c r="CN55" s="431">
        <v>4599786</v>
      </c>
      <c r="CO55" s="432">
        <v>0</v>
      </c>
      <c r="CP55" s="433">
        <v>0</v>
      </c>
      <c r="CR55" t="e">
        <f>((([1]Sheet11!$H$47/CH55)-0.8)*LN(CK55/([1]Sheet11!$G$36/2)))</f>
        <v>#DIV/0!</v>
      </c>
    </row>
    <row r="56" spans="1:96" ht="15" x14ac:dyDescent="0.25">
      <c r="A56" s="407"/>
      <c r="B56" s="407"/>
      <c r="C56" s="54" t="s">
        <v>34</v>
      </c>
      <c r="D56" s="554" t="s">
        <v>61</v>
      </c>
      <c r="E56" s="407"/>
      <c r="F56" s="407"/>
      <c r="G56" s="407"/>
      <c r="H56" s="407"/>
      <c r="I56" s="407"/>
      <c r="J56" s="407"/>
      <c r="K56" s="407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>
        <v>45.287637837855002</v>
      </c>
      <c r="AL56" s="9">
        <v>268.25053817044102</v>
      </c>
      <c r="AM56" s="17"/>
      <c r="AN56" s="400">
        <v>298.800583960903</v>
      </c>
      <c r="AO56" s="17">
        <v>14.7375920473924</v>
      </c>
      <c r="AP56" s="17"/>
      <c r="AQ56" s="400">
        <v>202.58219767618999</v>
      </c>
      <c r="AR56" s="17">
        <v>4.0400162199281597</v>
      </c>
      <c r="AS56" s="17"/>
      <c r="AT56" s="17">
        <v>0</v>
      </c>
      <c r="AU56" s="101">
        <v>11.673533100201601</v>
      </c>
      <c r="AV56" s="17">
        <v>1485</v>
      </c>
      <c r="AW56" s="102">
        <v>0</v>
      </c>
      <c r="AX56" s="1" t="e">
        <f>IF([1]Sheet11!$H$47&gt;=400,AT56,IF($J$137&lt;=200,((($H$119-($H$120*$H$121))/(($H$119-($H$120*$H$121*EXP(-$H$121*AW56)))))*(($J$136/($J$136+100))*$J$136))*7.5*(400/[1]Sheet11!$H$47),IF($J$137&lt;=250,((($H$119-($H$120*$H$121))/(($H$119-($H$120*$H$121*EXP(-$H$121*AW56)))))*(($J$136/($J$136+100))))*$J$136*7*(400/[1]Sheet11!$H$47),IF($J$137&lt;300,((($H$119-($H$120*$H$121))/(($H$119-($H$120*$H$121*EXP(-$H$121*AW56)))))*(($J$136/($J$136+100))))*$J$136*8*(400/[1]Sheet11!$H$47),IF(AND([1]Sheet11!$H$47&lt;=50,$J$137&gt;=300),((($H$119-($H$120*$H$121))/(($H$119-($H$120*$H$121*EXP(-$H$121*AW56)))))*(($J$136/($J$136+100))*$J$136))*(400/[1]Sheet11!$H$47),IF(AND([1]Sheet11!$H$47&gt;50,[1]Sheet11!$H$47&lt;=200,$J$137&gt;=300),((($H$119-($H$120*$H$121))/(($H$119-($H$120*$H$121*EXP(-$H$121*AW56)))))*(($J$136/($J$136+100))*$J$136))*3.5*(400/[1]Sheet11!$H$47))))))+2)</f>
        <v>#VALUE!</v>
      </c>
      <c r="AY56" s="1" t="e">
        <f t="shared" si="10"/>
        <v>#VALUE!</v>
      </c>
      <c r="AZ56" t="e">
        <f>IF([1]Sheet11!$H$47=400,((((AW56/AV56)/$G$129)*$G$129*60*[1]Sheet10!$AL$629*[1]Sheet11!$H$54/(($G$129*(AX56/14.7))))*1000),((((AW56/AV56)/$G$129)*$G$129*60*[1]Sheet10!$AL$629*[1]Sheet11!$H$54/(($G$129*(AX56*(400/[1]Sheet11!$H$47)/14.7))))*1000))</f>
        <v>#VALUE!</v>
      </c>
      <c r="BA56" t="e">
        <f>AZ56/[1]Sheet11!$H$47</f>
        <v>#VALUE!</v>
      </c>
      <c r="BB56" t="e">
        <f>IF($E$224&lt;=1,ABS(1/(([1]Sheet11!$H$54/AZ56)-(([1]Sheet11!$H$54)/[1]Sheet11!$H$47))),($E$224/(([1]Sheet11!$H$54/AZ56)-(([1]Sheet11!$H$54-BD56)/[1]Sheet11!$H$47))))</f>
        <v>#VALUE!</v>
      </c>
      <c r="BC56" t="e">
        <f>(BB56/[1]Sheet11!$H$47)</f>
        <v>#VALUE!</v>
      </c>
      <c r="BD56" t="e">
        <f>IF([1]Sheet11!$H$47=400,((AX56*4389120*($D$146^(1+$J$80))/($J$81*($D$150^$J$80)))*(1.26/(3+1/$J$80))^$J$80*AW56/$AW$70),((AX56*(400/[1]Sheet11!$H$47)*4389120*($D$146^(1+$J$80)))/($J$81*($D$150^$J$80)))*(1.3/(3+1/$J$80))^$J$80*AW56/$AW$70)</f>
        <v>#VALUE!</v>
      </c>
      <c r="BE56" t="e">
        <f>IF([1]Sheet11!$H$47=400,((AX56/14.7)*([1]Sheet11!$H$47/1000)*$G$129)/((AW56/'Oil-Based Mud 1'!AV56*60)*[1]Sheet10!$AL$629*([1]Sheet11!$H$54)),((AX56*(400/[1]Sheet11!$H$47)/14.7)*([1]Sheet11!$H$47/1000)*$G$129)/((AW56/'Oil-Based Mud 1'!AV56*60)*[1]Sheet10!$AL$629*([1]Sheet11!$H$54)))+1.6</f>
        <v>#VALUE!</v>
      </c>
      <c r="BF56" t="e">
        <f t="shared" si="6"/>
        <v>#DIV/0!</v>
      </c>
      <c r="BH56">
        <v>0.38198213655492302</v>
      </c>
      <c r="BJ56">
        <f>IF(AV56=0,"0",SQRT(((2*[1]Sheet11!$G$36/2*AV56)/[1]Sheet11!$H$48*((1-([1]Sheet10!$AL$625*[1]Sheet10!$AL$627))*[1]Sheet10!$AL$631/([1]Sheet10!$AL$628*[1]Sheet10!$AL$627))*60*39.37+([1]Sheet11!$G$36/2)^2)))</f>
        <v>20.879976190387133</v>
      </c>
      <c r="BM56" s="429">
        <f>((([1]Sheet11!$H$47/BU56)-1)*LN(BP56/([1]Sheet11!$G$36/2)))</f>
        <v>3.5507139677959874</v>
      </c>
      <c r="BO56" s="17">
        <v>1120</v>
      </c>
      <c r="BP56">
        <f>SQRT(((2*[1]Sheet11!$G$36/2*BO56)/[1]Sheet11!$H$48*((1-([1]Sheet10!$AL$625*[1]Sheet10!$AL$627))*[1]Sheet10!$AL$631/([1]Sheet10!$AL$628*[1]Sheet10!$AL$627))*60*39.37))</f>
        <v>17.945112994953892</v>
      </c>
      <c r="BQ56" s="428" t="e">
        <f t="shared" si="11"/>
        <v>#REF!</v>
      </c>
      <c r="BS56">
        <v>31.604644971771901</v>
      </c>
      <c r="BU56">
        <v>67</v>
      </c>
      <c r="BW56">
        <f>SQRT(((2*[1]Sheet11!$G$36/2*BO56)/[1]Sheet11!$H$48*((1-([1]Sheet10!$AM$625*[1]Sheet10!$AM$627))*[1]Sheet10!$AM$631/([1]Sheet10!$AM$628*[1]Sheet10!$AM$627))*60*39.37))</f>
        <v>34.253827306312317</v>
      </c>
      <c r="BX56">
        <f>SQRT(((2*[1]Sheet11!$G$36/2*BO56)/[1]Sheet11!$H$48*((1-([1]Sheet10!$AN$625*[1]Sheet10!$AN$627))*[1]Sheet10!$AN$631/([1]Sheet10!$AN$628*[1]Sheet10!$AN$627))*60*39.37))</f>
        <v>24.856650400117957</v>
      </c>
      <c r="BZ56" t="e">
        <f t="shared" ca="1" si="7"/>
        <v>#NAME?</v>
      </c>
      <c r="CA56" t="e">
        <f ca="1">(CE56*[1]Sheet10!$AL$629/(7.08*[1]Sheet11!$H$53*(CF56)))*1000*LN(([1]Sheet11!$H$52*12)/(BP56))</f>
        <v>#NAME?</v>
      </c>
      <c r="CB56" t="e">
        <f ca="1">LN(BP56/([1]Sheet11!$G$36/2))/((LN(([1]Sheet11!$H$52*12)/([1]Sheet11!$G$36/2))/CA56)-LN(([1]Sheet11!$H$52*12)/BP56)/[1]Sheet11!$H$47)</f>
        <v>#NAME?</v>
      </c>
      <c r="CC56" t="e">
        <f ca="1">((([1]Sheet11!$H$47/CB56)-1)*LN(BP56/([1]Sheet11!$G$36/2)))</f>
        <v>#NAME?</v>
      </c>
      <c r="CD56" t="e">
        <f t="shared" ca="1" si="8"/>
        <v>#NAME?</v>
      </c>
      <c r="CE56" t="e">
        <f t="shared" ca="1" si="9"/>
        <v>#NAME?</v>
      </c>
      <c r="CF56" t="e">
        <f ca="1">CE56*[1]Sheet10!$AL$629*LN([1]Sheet11!$H$52*12/([1]Sheet11!$G$36/2))/(0.00708*[1]Sheet11!$H$47*[1]Sheet11!$H$53)</f>
        <v>#NAME?</v>
      </c>
      <c r="CH56" s="17">
        <v>0</v>
      </c>
      <c r="CI56" s="17">
        <v>0</v>
      </c>
      <c r="CK56">
        <f>SQRT(((2*[1]Sheet11!$G$36/2*AV57)/[1]Sheet11!$H$48*((1-([1]Sheet10!$AL$625*[1]Sheet10!$AL$627))*[1]Sheet10!$AL$631/([1]Sheet10!$AL$628*[1]Sheet10!$AL$627))*60*39.37))</f>
        <v>21.347735795726422</v>
      </c>
      <c r="CM56" s="430">
        <v>0</v>
      </c>
      <c r="CN56" s="431">
        <v>4599786</v>
      </c>
      <c r="CO56" s="432">
        <v>0</v>
      </c>
      <c r="CP56" s="433">
        <v>0</v>
      </c>
      <c r="CR56" t="e">
        <f>((([1]Sheet11!$H$47/CH56)-0.8)*LN(CK56/([1]Sheet11!$G$36/2)))</f>
        <v>#DIV/0!</v>
      </c>
    </row>
    <row r="57" spans="1:96" ht="15" x14ac:dyDescent="0.25">
      <c r="A57" s="407"/>
      <c r="B57" s="407"/>
      <c r="C57" s="407"/>
      <c r="D57" s="407"/>
      <c r="E57" s="407"/>
      <c r="F57" s="407"/>
      <c r="G57" s="407"/>
      <c r="H57" s="407"/>
      <c r="I57" s="407"/>
      <c r="J57" s="407"/>
      <c r="K57" s="407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>
        <v>44.9836912669643</v>
      </c>
      <c r="AL57" s="9">
        <v>268.55448474133101</v>
      </c>
      <c r="AM57" s="17"/>
      <c r="AN57" s="400">
        <v>299.13057749194201</v>
      </c>
      <c r="AO57" s="17">
        <v>14.407598516353699</v>
      </c>
      <c r="AP57" s="17"/>
      <c r="AQ57" s="400">
        <v>202.711615328509</v>
      </c>
      <c r="AR57" s="17">
        <v>3.9105985676091599</v>
      </c>
      <c r="AS57" s="17"/>
      <c r="AT57" s="17">
        <v>0</v>
      </c>
      <c r="AU57" s="101">
        <v>12.0714023557302</v>
      </c>
      <c r="AV57" s="17">
        <v>1585</v>
      </c>
      <c r="AW57" s="102">
        <v>0</v>
      </c>
      <c r="AX57" s="1" t="e">
        <f>IF([1]Sheet11!$H$47&gt;=400,AT57,IF($J$137&lt;=200,((($H$119-($H$120*$H$121))/(($H$119-($H$120*$H$121*EXP(-$H$121*AW57)))))*(($J$136/($J$136+100))*$J$136))*7.5*(400/[1]Sheet11!$H$47),IF($J$137&lt;=250,((($H$119-($H$120*$H$121))/(($H$119-($H$120*$H$121*EXP(-$H$121*AW57)))))*(($J$136/($J$136+100))))*$J$136*7*(400/[1]Sheet11!$H$47),IF($J$137&lt;300,((($H$119-($H$120*$H$121))/(($H$119-($H$120*$H$121*EXP(-$H$121*AW57)))))*(($J$136/($J$136+100))))*$J$136*8*(400/[1]Sheet11!$H$47),IF(AND([1]Sheet11!$H$47&lt;=50,$J$137&gt;=300),((($H$119-($H$120*$H$121))/(($H$119-($H$120*$H$121*EXP(-$H$121*AW57)))))*(($J$136/($J$136+100))*$J$136))*(400/[1]Sheet11!$H$47),IF(AND([1]Sheet11!$H$47&gt;50,[1]Sheet11!$H$47&lt;=200,$J$137&gt;=300),((($H$119-($H$120*$H$121))/(($H$119-($H$120*$H$121*EXP(-$H$121*AW57)))))*(($J$136/($J$136+100))*$J$136))*3.5*(400/[1]Sheet11!$H$47))))))+2)</f>
        <v>#VALUE!</v>
      </c>
      <c r="AY57" s="1" t="e">
        <f t="shared" si="10"/>
        <v>#VALUE!</v>
      </c>
      <c r="AZ57" t="e">
        <f>IF([1]Sheet11!$H$47=400,((((AW57/AV57)/$G$129)*$G$129*60*[1]Sheet10!$AL$629*[1]Sheet11!$H$54/(($G$129*(AX57/14.7))))*1000),((((AW57/AV57)/$G$129)*$G$129*60*[1]Sheet10!$AL$629*[1]Sheet11!$H$54/(($G$129*(AX57*(400/[1]Sheet11!$H$47)/14.7))))*1000))</f>
        <v>#VALUE!</v>
      </c>
      <c r="BA57" t="e">
        <f>AZ57/[1]Sheet11!$H$47</f>
        <v>#VALUE!</v>
      </c>
      <c r="BB57" t="e">
        <f>IF($E$224&lt;=1,ABS(1/(([1]Sheet11!$H$54/AZ57)-(([1]Sheet11!$H$54)/[1]Sheet11!$H$47))),($E$224/(([1]Sheet11!$H$54/AZ57)-(([1]Sheet11!$H$54-BD57)/[1]Sheet11!$H$47))))</f>
        <v>#VALUE!</v>
      </c>
      <c r="BC57" t="e">
        <f>(BB57/[1]Sheet11!$H$47)</f>
        <v>#VALUE!</v>
      </c>
      <c r="BD57" t="e">
        <f>IF([1]Sheet11!$H$47=400,((AX57*4389120*($D$146^(1+$J$80))/($J$81*($D$150^$J$80)))*(1.26/(3+1/$J$80))^$J$80*AW57/$AW$70),((AX57*(400/[1]Sheet11!$H$47)*4389120*($D$146^(1+$J$80)))/($J$81*($D$150^$J$80)))*(1.3/(3+1/$J$80))^$J$80*AW57/$AW$70)</f>
        <v>#VALUE!</v>
      </c>
      <c r="BE57" t="e">
        <f>IF([1]Sheet11!$H$47=400,((AX57/14.7)*([1]Sheet11!$H$47/1000)*$G$129)/((AW57/'Oil-Based Mud 1'!AV57*60)*[1]Sheet10!$AL$629*([1]Sheet11!$H$54)),((AX57*(400/[1]Sheet11!$H$47)/14.7)*([1]Sheet11!$H$47/1000)*$G$129)/((AW57/'Oil-Based Mud 1'!AV57*60)*[1]Sheet10!$AL$629*([1]Sheet11!$H$54)))+1.6</f>
        <v>#VALUE!</v>
      </c>
      <c r="BF57" t="e">
        <f t="shared" si="6"/>
        <v>#DIV/0!</v>
      </c>
      <c r="BH57">
        <v>0.379158514084936</v>
      </c>
      <c r="BJ57">
        <f>IF(AV57=0,"0",SQRT(((2*[1]Sheet11!$G$36/2*AV57)/[1]Sheet11!$H$48*((1-([1]Sheet10!$AL$625*[1]Sheet10!$AL$627))*[1]Sheet10!$AL$631/([1]Sheet10!$AL$628*[1]Sheet10!$AL$627))*60*39.37+([1]Sheet11!$G$36/2)^2)))</f>
        <v>21.557500402508154</v>
      </c>
      <c r="BM57" s="429">
        <f>((([1]Sheet11!$H$47/BU57)-1)*LN(BP57/([1]Sheet11!$G$36/2)))</f>
        <v>3.5053847521331956</v>
      </c>
      <c r="BO57" s="17">
        <v>1070</v>
      </c>
      <c r="BP57">
        <f>SQRT(((2*[1]Sheet11!$G$36/2*BO57)/[1]Sheet11!$H$48*((1-([1]Sheet10!$AL$625*[1]Sheet10!$AL$627))*[1]Sheet10!$AL$631/([1]Sheet10!$AL$628*[1]Sheet10!$AL$627))*60*39.37))</f>
        <v>17.53997923189079</v>
      </c>
      <c r="BQ57" s="428" t="e">
        <f t="shared" si="11"/>
        <v>#REF!</v>
      </c>
      <c r="BS57">
        <v>31.885351238466502</v>
      </c>
      <c r="BU57">
        <v>67</v>
      </c>
      <c r="BW57">
        <f>SQRT(((2*[1]Sheet11!$G$36/2*BO57)/[1]Sheet11!$H$48*((1-([1]Sheet10!$AM$625*[1]Sheet10!$AM$627))*[1]Sheet10!$AM$631/([1]Sheet10!$AM$628*[1]Sheet10!$AM$627))*60*39.37))</f>
        <v>33.48050356297216</v>
      </c>
      <c r="BX57">
        <f>SQRT(((2*[1]Sheet11!$G$36/2*BO57)/[1]Sheet11!$H$48*((1-([1]Sheet10!$AN$625*[1]Sheet10!$AN$627))*[1]Sheet10!$AN$631/([1]Sheet10!$AN$628*[1]Sheet10!$AN$627))*60*39.37))</f>
        <v>24.295479884414018</v>
      </c>
      <c r="BZ57" t="e">
        <f t="shared" ca="1" si="7"/>
        <v>#NAME?</v>
      </c>
      <c r="CA57" t="e">
        <f ca="1">(CE57*[1]Sheet10!$AL$629/(7.08*[1]Sheet11!$H$53*(CF57)))*1000*LN(([1]Sheet11!$H$52*12)/(BP57))</f>
        <v>#NAME?</v>
      </c>
      <c r="CB57" t="e">
        <f ca="1">LN(BP57/([1]Sheet11!$G$36/2))/((LN(([1]Sheet11!$H$52*12)/([1]Sheet11!$G$36/2))/CA57)-LN(([1]Sheet11!$H$52*12)/BP57)/[1]Sheet11!$H$47)</f>
        <v>#NAME?</v>
      </c>
      <c r="CC57" t="e">
        <f ca="1">((([1]Sheet11!$H$47/CB57)-1)*LN(BP57/([1]Sheet11!$G$36/2)))</f>
        <v>#NAME?</v>
      </c>
      <c r="CD57" t="e">
        <f t="shared" ca="1" si="8"/>
        <v>#NAME?</v>
      </c>
      <c r="CE57" t="e">
        <f t="shared" ca="1" si="9"/>
        <v>#NAME?</v>
      </c>
      <c r="CF57" t="e">
        <f ca="1">CE57*[1]Sheet10!$AL$629*LN([1]Sheet11!$H$52*12/([1]Sheet11!$G$36/2))/(0.00708*[1]Sheet11!$H$47*[1]Sheet11!$H$53)</f>
        <v>#NAME?</v>
      </c>
      <c r="CH57" s="17">
        <v>0</v>
      </c>
      <c r="CI57" s="17">
        <v>0</v>
      </c>
      <c r="CK57">
        <f>SQRT(((2*[1]Sheet11!$G$36/2*AV58)/[1]Sheet11!$H$48*((1-([1]Sheet10!$AL$625*[1]Sheet10!$AL$627))*[1]Sheet10!$AL$631/([1]Sheet10!$AL$628*[1]Sheet10!$AL$627))*60*39.37))</f>
        <v>22.010866441309048</v>
      </c>
      <c r="CM57" s="430">
        <v>0</v>
      </c>
      <c r="CN57" s="431">
        <v>4599786</v>
      </c>
      <c r="CO57" s="432">
        <v>0</v>
      </c>
      <c r="CP57" s="433">
        <v>0</v>
      </c>
      <c r="CR57" t="e">
        <f>((([1]Sheet11!$H$47/CH57)-0.8)*LN(CK57/([1]Sheet11!$G$36/2)))</f>
        <v>#DIV/0!</v>
      </c>
    </row>
    <row r="58" spans="1:96" ht="15" x14ac:dyDescent="0.25">
      <c r="A58" s="407"/>
      <c r="B58" s="407"/>
      <c r="C58" s="407"/>
      <c r="D58" s="407"/>
      <c r="E58" s="407"/>
      <c r="F58" s="407"/>
      <c r="G58" s="407"/>
      <c r="H58" s="407"/>
      <c r="I58" s="407"/>
      <c r="J58" s="407"/>
      <c r="K58" s="407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>
        <v>44.704235701190498</v>
      </c>
      <c r="AL58" s="9">
        <v>268.83394030710502</v>
      </c>
      <c r="AM58" s="17"/>
      <c r="AN58" s="400">
        <v>299.43935261032101</v>
      </c>
      <c r="AO58" s="17">
        <v>14.0988233979744</v>
      </c>
      <c r="AP58" s="17"/>
      <c r="AQ58" s="400">
        <v>202.823707030462</v>
      </c>
      <c r="AR58" s="17">
        <v>3.7985068656563099</v>
      </c>
      <c r="AS58" s="17"/>
      <c r="AT58" s="17">
        <v>0</v>
      </c>
      <c r="AU58" s="101">
        <v>12.437916315226801</v>
      </c>
      <c r="AV58" s="17">
        <v>1685</v>
      </c>
      <c r="AW58" s="102">
        <v>0</v>
      </c>
      <c r="AX58" s="1" t="e">
        <f>IF([1]Sheet11!$H$47&gt;=400,AT58,IF($J$137&lt;=200,((($H$119-($H$120*$H$121))/(($H$119-($H$120*$H$121*EXP(-$H$121*AW58)))))*(($J$136/($J$136+100))*$J$136))*7.5*(400/[1]Sheet11!$H$47),IF($J$137&lt;=250,((($H$119-($H$120*$H$121))/(($H$119-($H$120*$H$121*EXP(-$H$121*AW58)))))*(($J$136/($J$136+100))))*$J$136*7*(400/[1]Sheet11!$H$47),IF($J$137&lt;300,((($H$119-($H$120*$H$121))/(($H$119-($H$120*$H$121*EXP(-$H$121*AW58)))))*(($J$136/($J$136+100))))*$J$136*8*(400/[1]Sheet11!$H$47),IF(AND([1]Sheet11!$H$47&lt;=50,$J$137&gt;=300),((($H$119-($H$120*$H$121))/(($H$119-($H$120*$H$121*EXP(-$H$121*AW58)))))*(($J$136/($J$136+100))*$J$136))*(400/[1]Sheet11!$H$47),IF(AND([1]Sheet11!$H$47&gt;50,[1]Sheet11!$H$47&lt;=200,$J$137&gt;=300),((($H$119-($H$120*$H$121))/(($H$119-($H$120*$H$121*EXP(-$H$121*AW58)))))*(($J$136/($J$136+100))*$J$136))*3.5*(400/[1]Sheet11!$H$47))))))+2)</f>
        <v>#VALUE!</v>
      </c>
      <c r="AY58" s="1" t="e">
        <f t="shared" si="10"/>
        <v>#VALUE!</v>
      </c>
      <c r="AZ58" t="e">
        <f>IF([1]Sheet11!$H$47=400,((((AW58/AV58)/$G$129)*$G$129*60*[1]Sheet10!$AL$629*[1]Sheet11!$H$54/(($G$129*(AX58/14.7))))*1000),((((AW58/AV58)/$G$129)*$G$129*60*[1]Sheet10!$AL$629*[1]Sheet11!$H$54/(($G$129*(AX58*(400/[1]Sheet11!$H$47)/14.7))))*1000))</f>
        <v>#VALUE!</v>
      </c>
      <c r="BA58" t="e">
        <f>AZ58/[1]Sheet11!$H$47</f>
        <v>#VALUE!</v>
      </c>
      <c r="BB58" t="e">
        <f>IF($E$224&lt;=1,ABS(1/(([1]Sheet11!$H$54/AZ58)-(([1]Sheet11!$H$54)/[1]Sheet11!$H$47))),($E$224/(([1]Sheet11!$H$54/AZ58)-(([1]Sheet11!$H$54-BD58)/[1]Sheet11!$H$47))))</f>
        <v>#VALUE!</v>
      </c>
      <c r="BC58" t="e">
        <f>(BB58/[1]Sheet11!$H$47)</f>
        <v>#VALUE!</v>
      </c>
      <c r="BD58" t="e">
        <f>IF([1]Sheet11!$H$47=400,((AX58*4389120*($D$146^(1+$J$80))/($J$81*($D$150^$J$80)))*(1.26/(3+1/$J$80))^$J$80*AW58/$AW$70),((AX58*(400/[1]Sheet11!$H$47)*4389120*($D$146^(1+$J$80)))/($J$81*($D$150^$J$80)))*(1.3/(3+1/$J$80))^$J$80*AW58/$AW$70)</f>
        <v>#VALUE!</v>
      </c>
      <c r="BE58" t="e">
        <f>IF([1]Sheet11!$H$47=400,((AX58/14.7)*([1]Sheet11!$H$47/1000)*$G$129)/((AW58/'Oil-Based Mud 1'!AV58*60)*[1]Sheet10!$AL$629*([1]Sheet11!$H$54)),((AX58*(400/[1]Sheet11!$H$47)/14.7)*([1]Sheet11!$H$47/1000)*$G$129)/((AW58/'Oil-Based Mud 1'!AV58*60)*[1]Sheet10!$AL$629*([1]Sheet11!$H$54)))+1.6</f>
        <v>#VALUE!</v>
      </c>
      <c r="BF58" t="e">
        <f t="shared" si="6"/>
        <v>#DIV/0!</v>
      </c>
      <c r="BH58">
        <v>0.376447750864501</v>
      </c>
      <c r="BJ58">
        <f>IF(AV58=0,"0",SQRT(((2*[1]Sheet11!$G$36/2*AV58)/[1]Sheet11!$H$48*((1-([1]Sheet10!$AL$625*[1]Sheet10!$AL$627))*[1]Sheet10!$AL$631/([1]Sheet10!$AL$628*[1]Sheet10!$AL$627))*60*39.37+([1]Sheet11!$G$36/2)^2)))</f>
        <v>22.214370157561184</v>
      </c>
      <c r="BM58" s="429">
        <f>((([1]Sheet11!$H$47/BU58)-1)*LN(BP58/([1]Sheet11!$G$36/2)))</f>
        <v>3.4578858654419609</v>
      </c>
      <c r="BO58" s="17">
        <v>1020</v>
      </c>
      <c r="BP58">
        <f>SQRT(((2*[1]Sheet11!$G$36/2*BO58)/[1]Sheet11!$H$48*((1-([1]Sheet10!$AL$625*[1]Sheet10!$AL$627))*[1]Sheet10!$AL$631/([1]Sheet10!$AL$628*[1]Sheet10!$AL$627))*60*39.37))</f>
        <v>17.125263866833045</v>
      </c>
      <c r="BQ58" s="428" t="e">
        <f t="shared" si="11"/>
        <v>#REF!</v>
      </c>
      <c r="BS58">
        <v>32.182573445203602</v>
      </c>
      <c r="BU58">
        <v>67</v>
      </c>
      <c r="BW58">
        <f>SQRT(((2*[1]Sheet11!$G$36/2*BO58)/[1]Sheet11!$H$48*((1-([1]Sheet10!$AM$625*[1]Sheet10!$AM$627))*[1]Sheet10!$AM$631/([1]Sheet10!$AM$628*[1]Sheet10!$AM$627))*60*39.37))</f>
        <v>32.688890353294575</v>
      </c>
      <c r="BX58">
        <f>SQRT(((2*[1]Sheet11!$G$36/2*BO58)/[1]Sheet11!$H$48*((1-([1]Sheet10!$AN$625*[1]Sheet10!$AN$627))*[1]Sheet10!$AN$631/([1]Sheet10!$AN$628*[1]Sheet10!$AN$627))*60*39.37))</f>
        <v>23.721037424915632</v>
      </c>
      <c r="BZ58" t="e">
        <f t="shared" ca="1" si="7"/>
        <v>#NAME?</v>
      </c>
      <c r="CA58" t="e">
        <f ca="1">(CE58*[1]Sheet10!$AL$629/(7.08*[1]Sheet11!$H$53*(CF58)))*1000*LN(([1]Sheet11!$H$52*12)/(BP58))</f>
        <v>#NAME?</v>
      </c>
      <c r="CB58" t="e">
        <f ca="1">LN(BP58/([1]Sheet11!$G$36/2))/((LN(([1]Sheet11!$H$52*12)/([1]Sheet11!$G$36/2))/CA58)-LN(([1]Sheet11!$H$52*12)/BP58)/[1]Sheet11!$H$47)</f>
        <v>#NAME?</v>
      </c>
      <c r="CC58" t="e">
        <f ca="1">((([1]Sheet11!$H$47/CB58)-1)*LN(BP58/([1]Sheet11!$G$36/2)))</f>
        <v>#NAME?</v>
      </c>
      <c r="CD58" t="e">
        <f t="shared" ca="1" si="8"/>
        <v>#NAME?</v>
      </c>
      <c r="CE58" t="e">
        <f t="shared" ca="1" si="9"/>
        <v>#NAME?</v>
      </c>
      <c r="CF58" t="e">
        <f ca="1">CE58*[1]Sheet10!$AL$629*LN([1]Sheet11!$H$52*12/([1]Sheet11!$G$36/2))/(0.00708*[1]Sheet11!$H$47*[1]Sheet11!$H$53)</f>
        <v>#NAME?</v>
      </c>
      <c r="CH58" s="17">
        <v>0</v>
      </c>
      <c r="CI58" s="17">
        <v>0</v>
      </c>
      <c r="CK58">
        <f>SQRT(((2*[1]Sheet11!$G$36/2*AV59)/[1]Sheet11!$H$48*((1-([1]Sheet10!$AL$625*[1]Sheet10!$AL$627))*[1]Sheet10!$AL$631/([1]Sheet10!$AL$628*[1]Sheet10!$AL$627))*60*39.37))</f>
        <v>22.654594664000289</v>
      </c>
      <c r="CM58" s="430">
        <v>0</v>
      </c>
      <c r="CN58" s="431">
        <v>4599786</v>
      </c>
      <c r="CO58" s="432">
        <v>0</v>
      </c>
      <c r="CP58" s="433">
        <v>0</v>
      </c>
      <c r="CR58" t="e">
        <f>((([1]Sheet11!$H$47/CH58)-0.8)*LN(CK58/([1]Sheet11!$G$36/2)))</f>
        <v>#DIV/0!</v>
      </c>
    </row>
    <row r="59" spans="1:96" ht="15" x14ac:dyDescent="0.25">
      <c r="A59" s="407"/>
      <c r="B59" s="407"/>
      <c r="C59" s="555" t="s">
        <v>249</v>
      </c>
      <c r="D59" s="407"/>
      <c r="E59" s="407"/>
      <c r="F59" s="407"/>
      <c r="G59" s="407"/>
      <c r="H59" s="407"/>
      <c r="I59" s="407"/>
      <c r="J59" s="407"/>
      <c r="K59" s="407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>
        <v>44.446652012393201</v>
      </c>
      <c r="AL59" s="9">
        <v>269.09152399590198</v>
      </c>
      <c r="AM59" s="17"/>
      <c r="AN59" s="400">
        <v>299.72908989091701</v>
      </c>
      <c r="AO59" s="17">
        <v>13.8090861173782</v>
      </c>
      <c r="AP59" s="17"/>
      <c r="AQ59" s="400">
        <v>202.937040279255</v>
      </c>
      <c r="AR59" s="17">
        <v>3.6851736168636999</v>
      </c>
      <c r="AS59" s="17"/>
      <c r="AT59" s="17">
        <v>0</v>
      </c>
      <c r="AU59" s="101">
        <v>12.8311581184932</v>
      </c>
      <c r="AV59" s="17">
        <v>1785</v>
      </c>
      <c r="AW59" s="102">
        <v>0</v>
      </c>
      <c r="AX59" s="1" t="e">
        <f>IF([1]Sheet11!$H$47&gt;=400,AT59,IF($J$137&lt;=200,((($H$119-($H$120*$H$121))/(($H$119-($H$120*$H$121*EXP(-$H$121*AW59)))))*(($J$136/($J$136+100))*$J$136))*7.5*(400/[1]Sheet11!$H$47),IF($J$137&lt;=250,((($H$119-($H$120*$H$121))/(($H$119-($H$120*$H$121*EXP(-$H$121*AW59)))))*(($J$136/($J$136+100))))*$J$136*7*(400/[1]Sheet11!$H$47),IF($J$137&lt;300,((($H$119-($H$120*$H$121))/(($H$119-($H$120*$H$121*EXP(-$H$121*AW59)))))*(($J$136/($J$136+100))))*$J$136*8*(400/[1]Sheet11!$H$47),IF(AND([1]Sheet11!$H$47&lt;=50,$J$137&gt;=300),((($H$119-($H$120*$H$121))/(($H$119-($H$120*$H$121*EXP(-$H$121*AW59)))))*(($J$136/($J$136+100))*$J$136))*(400/[1]Sheet11!$H$47),IF(AND([1]Sheet11!$H$47&gt;50,[1]Sheet11!$H$47&lt;=200,$J$137&gt;=300),((($H$119-($H$120*$H$121))/(($H$119-($H$120*$H$121*EXP(-$H$121*AW59)))))*(($J$136/($J$136+100))*$J$136))*3.5*(400/[1]Sheet11!$H$47))))))+2)</f>
        <v>#VALUE!</v>
      </c>
      <c r="AY59" s="1" t="e">
        <f t="shared" si="10"/>
        <v>#VALUE!</v>
      </c>
      <c r="AZ59" t="e">
        <f>IF([1]Sheet11!$H$47=400,((((AW59/AV59)/$G$129)*$G$129*60*[1]Sheet10!$AL$629*[1]Sheet11!$H$54/(($G$129*(AX59/14.7))))*1000),((((AW59/AV59)/$G$129)*$G$129*60*[1]Sheet10!$AL$629*[1]Sheet11!$H$54/(($G$129*(AX59*(400/[1]Sheet11!$H$47)/14.7))))*1000))</f>
        <v>#VALUE!</v>
      </c>
      <c r="BA59" t="e">
        <f>AZ59/[1]Sheet11!$H$47</f>
        <v>#VALUE!</v>
      </c>
      <c r="BB59" t="e">
        <f>IF($E$224&lt;=1,ABS(1/(([1]Sheet11!$H$54/AZ59)-(([1]Sheet11!$H$54)/[1]Sheet11!$H$47))),($E$224/(([1]Sheet11!$H$54/AZ59)-(([1]Sheet11!$H$54-BD59)/[1]Sheet11!$H$47))))</f>
        <v>#VALUE!</v>
      </c>
      <c r="BC59" t="e">
        <f>(BB59/[1]Sheet11!$H$47)</f>
        <v>#VALUE!</v>
      </c>
      <c r="BD59" t="e">
        <f>IF([1]Sheet11!$H$47=400,((AX59*4389120*($D$146^(1+$J$80))/($J$81*($D$150^$J$80)))*(1.26/(3+1/$J$80))^$J$80*AW59/$AW$70),((AX59*(400/[1]Sheet11!$H$47)*4389120*($D$146^(1+$J$80)))/($J$81*($D$150^$J$80)))*(1.3/(3+1/$J$80))^$J$80*AW59/$AW$70)</f>
        <v>#VALUE!</v>
      </c>
      <c r="BE59" t="e">
        <f>IF([1]Sheet11!$H$47=400,((AX59/14.7)*([1]Sheet11!$H$47/1000)*$G$129)/((AW59/'Oil-Based Mud 1'!AV59*60)*[1]Sheet10!$AL$629*([1]Sheet11!$H$54)),((AX59*(400/[1]Sheet11!$H$47)/14.7)*([1]Sheet11!$H$47/1000)*$G$129)/((AW59/'Oil-Based Mud 1'!AV59*60)*[1]Sheet10!$AL$629*([1]Sheet11!$H$54)))+1.6</f>
        <v>#VALUE!</v>
      </c>
      <c r="BF59" t="e">
        <f t="shared" si="6"/>
        <v>#DIV/0!</v>
      </c>
      <c r="BH59">
        <v>0.37384254698626401</v>
      </c>
      <c r="BJ59">
        <f>IF(AV59=0,"0",SQRT(((2*[1]Sheet11!$G$36/2*AV59)/[1]Sheet11!$H$48*((1-([1]Sheet10!$AL$625*[1]Sheet10!$AL$627))*[1]Sheet10!$AL$631/([1]Sheet10!$AL$628*[1]Sheet10!$AL$627))*60*39.37+([1]Sheet11!$G$36/2)^2)))</f>
        <v>22.852366603705413</v>
      </c>
      <c r="BM59" s="429">
        <f>((([1]Sheet11!$H$47/BU59)-1)*LN(BP59/([1]Sheet11!$G$36/2)))</f>
        <v>3.4079991189803329</v>
      </c>
      <c r="BO59" s="17">
        <v>970</v>
      </c>
      <c r="BP59">
        <f>SQRT(((2*[1]Sheet11!$G$36/2*BO59)/[1]Sheet11!$H$48*((1-([1]Sheet10!$AL$625*[1]Sheet10!$AL$627))*[1]Sheet10!$AL$631/([1]Sheet10!$AL$628*[1]Sheet10!$AL$627))*60*39.37))</f>
        <v>16.700253098745378</v>
      </c>
      <c r="BQ59" s="428" t="e">
        <f t="shared" si="11"/>
        <v>#REF!</v>
      </c>
      <c r="BS59">
        <v>32.498540103489503</v>
      </c>
      <c r="BU59">
        <v>67</v>
      </c>
      <c r="BW59">
        <f>SQRT(((2*[1]Sheet11!$G$36/2*BO59)/[1]Sheet11!$H$48*((1-([1]Sheet10!$AM$625*[1]Sheet10!$AM$627))*[1]Sheet10!$AM$631/([1]Sheet10!$AM$628*[1]Sheet10!$AM$627))*60*39.37))</f>
        <v>31.877625166082225</v>
      </c>
      <c r="BX59">
        <f>SQRT(((2*[1]Sheet11!$G$36/2*BO59)/[1]Sheet11!$H$48*((1-([1]Sheet10!$AN$625*[1]Sheet10!$AN$627))*[1]Sheet10!$AN$631/([1]Sheet10!$AN$628*[1]Sheet10!$AN$627))*60*39.37))</f>
        <v>23.13233430102829</v>
      </c>
      <c r="BZ59" t="e">
        <f t="shared" ca="1" si="7"/>
        <v>#NAME?</v>
      </c>
      <c r="CA59" t="e">
        <f ca="1">(CE59*[1]Sheet10!$AL$629/(7.08*[1]Sheet11!$H$53*(CF59)))*1000*LN(([1]Sheet11!$H$52*12)/(BP59))</f>
        <v>#NAME?</v>
      </c>
      <c r="CB59" t="e">
        <f ca="1">LN(BP59/([1]Sheet11!$G$36/2))/((LN(([1]Sheet11!$H$52*12)/([1]Sheet11!$G$36/2))/CA59)-LN(([1]Sheet11!$H$52*12)/BP59)/[1]Sheet11!$H$47)</f>
        <v>#NAME?</v>
      </c>
      <c r="CC59" t="e">
        <f ca="1">((([1]Sheet11!$H$47/CB59)-1)*LN(BP59/([1]Sheet11!$G$36/2)))</f>
        <v>#NAME?</v>
      </c>
      <c r="CD59" t="e">
        <f t="shared" ca="1" si="8"/>
        <v>#NAME?</v>
      </c>
      <c r="CE59" t="e">
        <f t="shared" ca="1" si="9"/>
        <v>#NAME?</v>
      </c>
      <c r="CF59" t="e">
        <f ca="1">CE59*[1]Sheet10!$AL$629*LN([1]Sheet11!$H$52*12/([1]Sheet11!$G$36/2))/(0.00708*[1]Sheet11!$H$47*[1]Sheet11!$H$53)</f>
        <v>#NAME?</v>
      </c>
      <c r="CH59" s="17">
        <v>0</v>
      </c>
      <c r="CI59" s="17">
        <v>0</v>
      </c>
      <c r="CK59">
        <f>SQRT(((2*[1]Sheet11!$G$36/2*AV60)/[1]Sheet11!$H$48*((1-([1]Sheet10!$AL$625*[1]Sheet10!$AL$627))*[1]Sheet10!$AL$631/([1]Sheet10!$AL$628*[1]Sheet10!$AL$627))*60*39.37))</f>
        <v>23.280530004343888</v>
      </c>
      <c r="CM59" s="430">
        <v>0</v>
      </c>
      <c r="CN59" s="431">
        <v>4599786</v>
      </c>
      <c r="CO59" s="432">
        <v>0</v>
      </c>
      <c r="CP59" s="433">
        <v>0</v>
      </c>
      <c r="CR59" t="e">
        <f>((([1]Sheet11!$H$47/CH59)-0.8)*LN(CK59/([1]Sheet11!$G$36/2)))</f>
        <v>#DIV/0!</v>
      </c>
    </row>
    <row r="60" spans="1:96" ht="15" x14ac:dyDescent="0.25">
      <c r="A60" s="536" t="s">
        <v>8</v>
      </c>
      <c r="B60" s="537" t="s">
        <v>44</v>
      </c>
      <c r="C60" s="538" t="s">
        <v>10</v>
      </c>
      <c r="D60" s="539" t="s">
        <v>195</v>
      </c>
      <c r="E60" s="540" t="s">
        <v>239</v>
      </c>
      <c r="F60" s="540" t="s">
        <v>240</v>
      </c>
      <c r="G60" s="540" t="s">
        <v>241</v>
      </c>
      <c r="H60" s="54" t="s">
        <v>250</v>
      </c>
      <c r="I60" s="541" t="s">
        <v>242</v>
      </c>
      <c r="J60" s="542">
        <v>18.4663805318344</v>
      </c>
      <c r="K60" s="543">
        <v>94.178540712355499</v>
      </c>
      <c r="L60" s="54"/>
      <c r="M60" s="407"/>
      <c r="N60" s="407"/>
      <c r="O60" s="54"/>
      <c r="P60" s="54"/>
      <c r="Q60" s="54"/>
      <c r="R60" s="54"/>
      <c r="S60" s="54"/>
      <c r="T60" s="54"/>
      <c r="U60" s="54"/>
      <c r="V60" s="54"/>
      <c r="W60" s="54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>
        <v>44.208685423260597</v>
      </c>
      <c r="AL60" s="9">
        <v>269.32949058503499</v>
      </c>
      <c r="AM60" s="17"/>
      <c r="AN60" s="400">
        <v>300.00166854565998</v>
      </c>
      <c r="AO60" s="17">
        <v>13.5365074626359</v>
      </c>
      <c r="AP60" s="17"/>
      <c r="AQ60" s="400">
        <v>203.03605559747501</v>
      </c>
      <c r="AR60" s="17">
        <v>3.5861582986434501</v>
      </c>
      <c r="AS60" s="17"/>
      <c r="AT60" s="17">
        <v>0</v>
      </c>
      <c r="AU60" s="101">
        <v>13.1950632567623</v>
      </c>
      <c r="AV60" s="17">
        <v>1885</v>
      </c>
      <c r="AW60" s="102">
        <v>0</v>
      </c>
      <c r="AX60" s="1" t="e">
        <f>IF([1]Sheet11!$H$47&gt;=400,AT60,IF($J$137&lt;=200,((($H$119-($H$120*$H$121))/(($H$119-($H$120*$H$121*EXP(-$H$121*AW60)))))*(($J$136/($J$136+100))*$J$136))*7.5*(400/[1]Sheet11!$H$47),IF($J$137&lt;=250,((($H$119-($H$120*$H$121))/(($H$119-($H$120*$H$121*EXP(-$H$121*AW60)))))*(($J$136/($J$136+100))))*$J$136*7*(400/[1]Sheet11!$H$47),IF($J$137&lt;300,((($H$119-($H$120*$H$121))/(($H$119-($H$120*$H$121*EXP(-$H$121*AW60)))))*(($J$136/($J$136+100))))*$J$136*8*(400/[1]Sheet11!$H$47),IF(AND([1]Sheet11!$H$47&lt;=50,$J$137&gt;=300),((($H$119-($H$120*$H$121))/(($H$119-($H$120*$H$121*EXP(-$H$121*AW60)))))*(($J$136/($J$136+100))*$J$136))*(400/[1]Sheet11!$H$47),IF(AND([1]Sheet11!$H$47&gt;50,[1]Sheet11!$H$47&lt;=200,$J$137&gt;=300),((($H$119-($H$120*$H$121))/(($H$119-($H$120*$H$121*EXP(-$H$121*AW60)))))*(($J$136/($J$136+100))*$J$136))*3.5*(400/[1]Sheet11!$H$47))))))+2)</f>
        <v>#VALUE!</v>
      </c>
      <c r="AY60" s="1" t="e">
        <f t="shared" si="10"/>
        <v>#VALUE!</v>
      </c>
      <c r="AZ60" t="e">
        <f>IF([1]Sheet11!$H$47=400,((((AW60/AV60)/$G$129)*$G$129*60*[1]Sheet10!$AL$629*[1]Sheet11!$H$54/(($G$129*(AX60/14.7))))*1000),((((AW60/AV60)/$G$129)*$G$129*60*[1]Sheet10!$AL$629*[1]Sheet11!$H$54/(($G$129*(AX60*(400/[1]Sheet11!$H$47)/14.7))))*1000))</f>
        <v>#VALUE!</v>
      </c>
      <c r="BA60" t="e">
        <f>AZ60/[1]Sheet11!$H$47</f>
        <v>#VALUE!</v>
      </c>
      <c r="BB60" t="e">
        <f>IF($E$224&lt;=1,ABS(1/(([1]Sheet11!$H$54/AZ60)-(([1]Sheet11!$H$54)/[1]Sheet11!$H$47))),($E$224/(([1]Sheet11!$H$54/AZ60)-(([1]Sheet11!$H$54-BD60)/[1]Sheet11!$H$47))))</f>
        <v>#VALUE!</v>
      </c>
      <c r="BC60" t="e">
        <f>(BB60/[1]Sheet11!$H$47)</f>
        <v>#VALUE!</v>
      </c>
      <c r="BD60" t="e">
        <f>IF([1]Sheet11!$H$47=400,((AX60*4389120*($D$146^(1+$J$80))/($J$81*($D$150^$J$80)))*(1.26/(3+1/$J$80))^$J$80*AW60/$AW$70),((AX60*(400/[1]Sheet11!$H$47)*4389120*($D$146^(1+$J$80)))/($J$81*($D$150^$J$80)))*(1.3/(3+1/$J$80))^$J$80*AW60/$AW$70)</f>
        <v>#VALUE!</v>
      </c>
      <c r="BE60" t="e">
        <f>IF([1]Sheet11!$H$47=400,((AX60/14.7)*([1]Sheet11!$H$47/1000)*$G$129)/((AW60/'Oil-Based Mud 1'!AV60*60)*[1]Sheet10!$AL$629*([1]Sheet11!$H$54)),((AX60*(400/[1]Sheet11!$H$47)/14.7)*([1]Sheet11!$H$47/1000)*$G$129)/((AW60/'Oil-Based Mud 1'!AV60*60)*[1]Sheet10!$AL$629*([1]Sheet11!$H$54)))+1.6</f>
        <v>#VALUE!</v>
      </c>
      <c r="BF60" t="e">
        <f t="shared" si="6"/>
        <v>#DIV/0!</v>
      </c>
      <c r="BH60">
        <v>0.37133626093480299</v>
      </c>
      <c r="BJ60">
        <f>IF(AV60=0,"0",SQRT(((2*[1]Sheet11!$G$36/2*AV60)/[1]Sheet11!$H$48*((1-([1]Sheet10!$AL$625*[1]Sheet10!$AL$627))*[1]Sheet10!$AL$631/([1]Sheet10!$AL$628*[1]Sheet10!$AL$627))*60*39.37+([1]Sheet11!$G$36/2)^2)))</f>
        <v>23.473028719855392</v>
      </c>
      <c r="BM60" s="429">
        <f>((([1]Sheet11!$H$47/BU60)-1)*LN(BP60/([1]Sheet11!$G$36/2)))</f>
        <v>3.355471660820426</v>
      </c>
      <c r="BO60" s="17">
        <v>920</v>
      </c>
      <c r="BP60">
        <f>SQRT(((2*[1]Sheet11!$G$36/2*BO60)/[1]Sheet11!$H$48*((1-([1]Sheet10!$AL$625*[1]Sheet10!$AL$627))*[1]Sheet10!$AL$631/([1]Sheet10!$AL$628*[1]Sheet10!$AL$627))*60*39.37))</f>
        <v>16.264139836328628</v>
      </c>
      <c r="BQ60" s="428" t="e">
        <f t="shared" si="11"/>
        <v>#REF!</v>
      </c>
      <c r="BS60">
        <v>32.835770785056397</v>
      </c>
      <c r="BU60">
        <v>67</v>
      </c>
      <c r="BW60">
        <f>SQRT(((2*[1]Sheet11!$G$36/2*BO60)/[1]Sheet11!$H$48*((1-([1]Sheet10!$AM$625*[1]Sheet10!$AM$627))*[1]Sheet10!$AM$631/([1]Sheet10!$AM$628*[1]Sheet10!$AM$627))*60*39.37))</f>
        <v>31.04516741666507</v>
      </c>
      <c r="BX60">
        <f>SQRT(((2*[1]Sheet11!$G$36/2*BO60)/[1]Sheet11!$H$48*((1-([1]Sheet10!$AN$625*[1]Sheet10!$AN$627))*[1]Sheet10!$AN$631/([1]Sheet10!$AN$628*[1]Sheet10!$AN$627))*60*39.37))</f>
        <v>22.528252571267306</v>
      </c>
      <c r="BZ60" t="e">
        <f t="shared" ca="1" si="7"/>
        <v>#NAME?</v>
      </c>
      <c r="CA60" t="e">
        <f ca="1">(CE60*[1]Sheet10!$AL$629/(7.08*[1]Sheet11!$H$53*(CF60)))*1000*LN(([1]Sheet11!$H$52*12)/(BP60))</f>
        <v>#NAME?</v>
      </c>
      <c r="CB60" t="e">
        <f ca="1">LN(BP60/([1]Sheet11!$G$36/2))/((LN(([1]Sheet11!$H$52*12)/([1]Sheet11!$G$36/2))/CA60)-LN(([1]Sheet11!$H$52*12)/BP60)/[1]Sheet11!$H$47)</f>
        <v>#NAME?</v>
      </c>
      <c r="CC60" t="e">
        <f ca="1">((([1]Sheet11!$H$47/CB60)-1)*LN(BP60/([1]Sheet11!$G$36/2)))</f>
        <v>#NAME?</v>
      </c>
      <c r="CD60" t="e">
        <f t="shared" ca="1" si="8"/>
        <v>#NAME?</v>
      </c>
      <c r="CE60" t="e">
        <f t="shared" ca="1" si="9"/>
        <v>#NAME?</v>
      </c>
      <c r="CF60" t="e">
        <f ca="1">CE60*[1]Sheet10!$AL$629*LN([1]Sheet11!$H$52*12/([1]Sheet11!$G$36/2))/(0.00708*[1]Sheet11!$H$47*[1]Sheet11!$H$53)</f>
        <v>#NAME?</v>
      </c>
      <c r="CH60" s="17">
        <v>0</v>
      </c>
      <c r="CI60" s="17">
        <v>0</v>
      </c>
      <c r="CK60">
        <f>SQRT(((2*[1]Sheet11!$G$36/2*AV61)/[1]Sheet11!$H$48*((1-([1]Sheet10!$AL$625*[1]Sheet10!$AL$627))*[1]Sheet10!$AL$631/([1]Sheet10!$AL$628*[1]Sheet10!$AL$627))*60*39.37))</f>
        <v>23.890071058415916</v>
      </c>
      <c r="CM60" s="430">
        <v>0</v>
      </c>
      <c r="CN60" s="431">
        <v>4599786</v>
      </c>
      <c r="CO60" s="432">
        <v>0</v>
      </c>
      <c r="CP60" s="433">
        <v>0</v>
      </c>
      <c r="CR60" t="e">
        <f>((([1]Sheet11!$H$47/CH60)-0.8)*LN(CK60/([1]Sheet11!$G$36/2)))</f>
        <v>#DIV/0!</v>
      </c>
    </row>
    <row r="61" spans="1:96" ht="15" x14ac:dyDescent="0.25">
      <c r="A61" s="544">
        <v>600</v>
      </c>
      <c r="B61" s="545">
        <v>46.605627056534502</v>
      </c>
      <c r="C61" s="546">
        <v>1021.92</v>
      </c>
      <c r="D61" s="556">
        <v>237.688697988326</v>
      </c>
      <c r="E61" s="407">
        <v>250.25632287837499</v>
      </c>
      <c r="F61" s="407">
        <v>184.63194822010399</v>
      </c>
      <c r="G61" s="407">
        <v>214.606387950813</v>
      </c>
      <c r="H61" s="54">
        <v>8.0559355525155798</v>
      </c>
      <c r="I61" s="413" t="s">
        <v>243</v>
      </c>
      <c r="J61" s="547">
        <v>9.6728659928656509</v>
      </c>
      <c r="K61" s="415">
        <v>49.331616563614801</v>
      </c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>
        <v>43.988382670206597</v>
      </c>
      <c r="AL61" s="9">
        <v>269.54979333808899</v>
      </c>
      <c r="AM61" s="17"/>
      <c r="AN61" s="400">
        <v>300.25871794168302</v>
      </c>
      <c r="AO61" s="17">
        <v>13.2794580666129</v>
      </c>
      <c r="AP61" s="17"/>
      <c r="AQ61" s="400">
        <v>203.12749591251901</v>
      </c>
      <c r="AR61" s="17">
        <v>3.4947179835992301</v>
      </c>
      <c r="AS61" s="17"/>
      <c r="AT61" s="17">
        <v>0</v>
      </c>
      <c r="AU61" s="101">
        <v>13.5494433616396</v>
      </c>
      <c r="AV61" s="17">
        <v>1985</v>
      </c>
      <c r="AW61" s="102">
        <v>0</v>
      </c>
      <c r="AX61" s="1" t="e">
        <f>IF([1]Sheet11!$H$47&gt;=400,AT61,IF($J$137&lt;=200,((($H$119-($H$120*$H$121))/(($H$119-($H$120*$H$121*EXP(-$H$121*AW61)))))*(($J$136/($J$136+100))*$J$136))*7.5*(400/[1]Sheet11!$H$47),IF($J$137&lt;=250,((($H$119-($H$120*$H$121))/(($H$119-($H$120*$H$121*EXP(-$H$121*AW61)))))*(($J$136/($J$136+100))))*$J$136*7*(400/[1]Sheet11!$H$47),IF($J$137&lt;300,((($H$119-($H$120*$H$121))/(($H$119-($H$120*$H$121*EXP(-$H$121*AW61)))))*(($J$136/($J$136+100))))*$J$136*8*(400/[1]Sheet11!$H$47),IF(AND([1]Sheet11!$H$47&lt;=50,$J$137&gt;=300),((($H$119-($H$120*$H$121))/(($H$119-($H$120*$H$121*EXP(-$H$121*AW61)))))*(($J$136/($J$136+100))*$J$136))*(400/[1]Sheet11!$H$47),IF(AND([1]Sheet11!$H$47&gt;50,[1]Sheet11!$H$47&lt;=200,$J$137&gt;=300),((($H$119-($H$120*$H$121))/(($H$119-($H$120*$H$121*EXP(-$H$121*AW61)))))*(($J$136/($J$136+100))*$J$136))*3.5*(400/[1]Sheet11!$H$47))))))+2)</f>
        <v>#VALUE!</v>
      </c>
      <c r="AY61" s="1" t="e">
        <f t="shared" si="10"/>
        <v>#VALUE!</v>
      </c>
      <c r="AZ61" t="e">
        <f>IF([1]Sheet11!$H$47=400,((((AW61/AV61)/$G$129)*$G$129*60*[1]Sheet10!$AL$629*[1]Sheet11!$H$54/(($G$129*(AX61/14.7))))*1000),((((AW61/AV61)/$G$129)*$G$129*60*[1]Sheet10!$AL$629*[1]Sheet11!$H$54/(($G$129*(AX61*(400/[1]Sheet11!$H$47)/14.7))))*1000))</f>
        <v>#VALUE!</v>
      </c>
      <c r="BA61" t="e">
        <f>AZ61/[1]Sheet11!$H$47</f>
        <v>#VALUE!</v>
      </c>
      <c r="BB61" t="e">
        <f>IF($E$224&lt;=1,ABS(1/(([1]Sheet11!$H$54/AZ61)-(([1]Sheet11!$H$54)/[1]Sheet11!$H$47))),($E$224/(([1]Sheet11!$H$54/AZ61)-(([1]Sheet11!$H$54-BD61)/[1]Sheet11!$H$47))))</f>
        <v>#VALUE!</v>
      </c>
      <c r="BC61" t="e">
        <f>(BB61/[1]Sheet11!$H$47)</f>
        <v>#VALUE!</v>
      </c>
      <c r="BD61" t="e">
        <f>IF([1]Sheet11!$H$47=400,((AX61*4389120*($D$146^(1+$J$80))/($J$81*($D$150^$J$80)))*(1.26/(3+1/$J$80))^$J$80*AW61/$AW$70),((AX61*(400/[1]Sheet11!$H$47)*4389120*($D$146^(1+$J$80)))/($J$81*($D$150^$J$80)))*(1.3/(3+1/$J$80))^$J$80*AW61/$AW$70)</f>
        <v>#VALUE!</v>
      </c>
      <c r="BE61" t="e">
        <f>IF([1]Sheet11!$H$47=400,((AX61/14.7)*([1]Sheet11!$H$47/1000)*$G$129)/((AW61/'Oil-Based Mud 1'!AV61*60)*[1]Sheet10!$AL$629*([1]Sheet11!$H$54)),((AX61*(400/[1]Sheet11!$H$47)/14.7)*([1]Sheet11!$H$47/1000)*$G$129)/((AW61/'Oil-Based Mud 1'!AV61*60)*[1]Sheet10!$AL$629*([1]Sheet11!$H$54)))+1.6</f>
        <v>#VALUE!</v>
      </c>
      <c r="BF61" t="e">
        <f t="shared" si="6"/>
        <v>#DIV/0!</v>
      </c>
      <c r="BH61">
        <v>0.36892285547250903</v>
      </c>
      <c r="BJ61">
        <f>IF(AV61=0,"0",SQRT(((2*[1]Sheet11!$G$36/2*AV61)/[1]Sheet11!$H$48*((1-([1]Sheet10!$AL$625*[1]Sheet10!$AL$627))*[1]Sheet10!$AL$631/([1]Sheet10!$AL$628*[1]Sheet10!$AL$627))*60*39.37+([1]Sheet11!$G$36/2)^2)))</f>
        <v>24.07769704884921</v>
      </c>
      <c r="BM61" s="429">
        <f>((([1]Sheet11!$H$47/BU61)-1)*LN(BP61/([1]Sheet11!$G$36/2)))</f>
        <v>3.3000082207721966</v>
      </c>
      <c r="BO61" s="17">
        <v>870</v>
      </c>
      <c r="BP61">
        <f>SQRT(((2*[1]Sheet11!$G$36/2*BO61)/[1]Sheet11!$H$48*((1-([1]Sheet10!$AL$625*[1]Sheet10!$AL$627))*[1]Sheet10!$AL$631/([1]Sheet10!$AL$628*[1]Sheet10!$AL$627))*60*39.37))</f>
        <v>15.816005679979664</v>
      </c>
      <c r="BQ61" s="428" t="e">
        <f t="shared" si="11"/>
        <v>#REF!</v>
      </c>
      <c r="BS61">
        <v>33.1971199439594</v>
      </c>
      <c r="BU61">
        <v>67</v>
      </c>
      <c r="BW61">
        <f>SQRT(((2*[1]Sheet11!$G$36/2*BO61)/[1]Sheet11!$H$48*((1-([1]Sheet10!$AM$625*[1]Sheet10!$AM$627))*[1]Sheet10!$AM$631/([1]Sheet10!$AM$628*[1]Sheet10!$AM$627))*60*39.37))</f>
        <v>30.189764053869091</v>
      </c>
      <c r="BX61">
        <f>SQRT(((2*[1]Sheet11!$G$36/2*BO61)/[1]Sheet11!$H$48*((1-([1]Sheet10!$AN$625*[1]Sheet10!$AN$627))*[1]Sheet10!$AN$631/([1]Sheet10!$AN$628*[1]Sheet10!$AN$627))*60*39.37))</f>
        <v>21.90752011559259</v>
      </c>
      <c r="BZ61" t="e">
        <f t="shared" ca="1" si="7"/>
        <v>#NAME?</v>
      </c>
      <c r="CA61" t="e">
        <f ca="1">(CE61*[1]Sheet10!$AL$629/(7.08*[1]Sheet11!$H$53*(CF61)))*1000*LN(([1]Sheet11!$H$52*12)/(BP61))</f>
        <v>#NAME?</v>
      </c>
      <c r="CB61" t="e">
        <f ca="1">LN(BP61/([1]Sheet11!$G$36/2))/((LN(([1]Sheet11!$H$52*12)/([1]Sheet11!$G$36/2))/CA61)-LN(([1]Sheet11!$H$52*12)/BP61)/[1]Sheet11!$H$47)</f>
        <v>#NAME?</v>
      </c>
      <c r="CC61" t="e">
        <f ca="1">((([1]Sheet11!$H$47/CB61)-1)*LN(BP61/([1]Sheet11!$G$36/2)))</f>
        <v>#NAME?</v>
      </c>
      <c r="CD61" t="e">
        <f t="shared" ca="1" si="8"/>
        <v>#NAME?</v>
      </c>
      <c r="CE61" t="e">
        <f t="shared" ca="1" si="9"/>
        <v>#NAME?</v>
      </c>
      <c r="CF61" t="e">
        <f ca="1">CE61*[1]Sheet10!$AL$629*LN([1]Sheet11!$H$52*12/([1]Sheet11!$G$36/2))/(0.00708*[1]Sheet11!$H$47*[1]Sheet11!$H$53)</f>
        <v>#NAME?</v>
      </c>
      <c r="CH61" s="17">
        <v>0</v>
      </c>
      <c r="CI61" s="17">
        <v>0</v>
      </c>
      <c r="CK61">
        <f>SQRT(((2*[1]Sheet11!$G$36/2*AV62)/[1]Sheet11!$H$48*((1-([1]Sheet10!$AL$625*[1]Sheet10!$AL$627))*[1]Sheet10!$AL$631/([1]Sheet10!$AL$628*[1]Sheet10!$AL$627))*60*39.37))</f>
        <v>24.484442265838268</v>
      </c>
      <c r="CM61" s="430">
        <v>0</v>
      </c>
      <c r="CN61" s="431">
        <v>4599786</v>
      </c>
      <c r="CO61" s="432">
        <v>0</v>
      </c>
      <c r="CP61" s="433">
        <v>0</v>
      </c>
      <c r="CR61" t="e">
        <f>((([1]Sheet11!$H$47/CH61)-0.8)*LN(CK61/([1]Sheet11!$G$36/2)))</f>
        <v>#DIV/0!</v>
      </c>
    </row>
    <row r="62" spans="1:96" ht="15" x14ac:dyDescent="0.25">
      <c r="A62" s="544">
        <v>300</v>
      </c>
      <c r="B62" s="545">
        <v>28.139246524700098</v>
      </c>
      <c r="C62" s="280">
        <v>510.96</v>
      </c>
      <c r="D62" s="556">
        <v>143.51015727596999</v>
      </c>
      <c r="E62" s="407">
        <v>149.79396972099499</v>
      </c>
      <c r="F62" s="407">
        <v>143.51015727596999</v>
      </c>
      <c r="G62" s="407">
        <v>143.51015727596999</v>
      </c>
      <c r="H62" s="54">
        <v>8.0559355525155798</v>
      </c>
      <c r="I62" s="409" t="s">
        <v>244</v>
      </c>
      <c r="J62" s="412">
        <v>0.36349936396813098</v>
      </c>
      <c r="K62" s="407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>
        <v>43.784042603311399</v>
      </c>
      <c r="AL62" s="9">
        <v>269.75413340498397</v>
      </c>
      <c r="AM62" s="17"/>
      <c r="AN62" s="400">
        <v>300.50165874867901</v>
      </c>
      <c r="AO62" s="17">
        <v>13.036517259617</v>
      </c>
      <c r="AP62" s="17"/>
      <c r="AQ62" s="400">
        <v>203.212280299295</v>
      </c>
      <c r="AR62" s="17">
        <v>3.4099335968239299</v>
      </c>
      <c r="AS62" s="17"/>
      <c r="AT62" s="17">
        <v>0</v>
      </c>
      <c r="AU62" s="101">
        <v>13.895009385721799</v>
      </c>
      <c r="AV62" s="17">
        <v>2085</v>
      </c>
      <c r="AW62" s="102">
        <v>0</v>
      </c>
      <c r="AX62" s="1" t="e">
        <f>IF([1]Sheet11!$H$47&gt;=400,AT62,IF($J$137&lt;=200,((($H$119-($H$120*$H$121))/(($H$119-($H$120*$H$121*EXP(-$H$121*AW62)))))*(($J$136/($J$136+100))*$J$136))*7.5*(400/[1]Sheet11!$H$47),IF($J$137&lt;=250,((($H$119-($H$120*$H$121))/(($H$119-($H$120*$H$121*EXP(-$H$121*AW62)))))*(($J$136/($J$136+100))))*$J$136*7*(400/[1]Sheet11!$H$47),IF($J$137&lt;300,((($H$119-($H$120*$H$121))/(($H$119-($H$120*$H$121*EXP(-$H$121*AW62)))))*(($J$136/($J$136+100))))*$J$136*8*(400/[1]Sheet11!$H$47),IF(AND([1]Sheet11!$H$47&lt;=50,$J$137&gt;=300),((($H$119-($H$120*$H$121))/(($H$119-($H$120*$H$121*EXP(-$H$121*AW62)))))*(($J$136/($J$136+100))*$J$136))*(400/[1]Sheet11!$H$47),IF(AND([1]Sheet11!$H$47&gt;50,[1]Sheet11!$H$47&lt;=200,$J$137&gt;=300),((($H$119-($H$120*$H$121))/(($H$119-($H$120*$H$121*EXP(-$H$121*AW62)))))*(($J$136/($J$136+100))*$J$136))*3.5*(400/[1]Sheet11!$H$47))))))+2)</f>
        <v>#VALUE!</v>
      </c>
      <c r="AY62" s="1" t="e">
        <f t="shared" si="10"/>
        <v>#VALUE!</v>
      </c>
      <c r="AZ62" t="e">
        <f>IF([1]Sheet11!$H$47=400,((((AW62/AV62)/$G$129)*$G$129*60*[1]Sheet10!$AL$629*[1]Sheet11!$H$54/(($G$129*(AX62/14.7))))*1000),((((AW62/AV62)/$G$129)*$G$129*60*[1]Sheet10!$AL$629*[1]Sheet11!$H$54/(($G$129*(AX62*(400/[1]Sheet11!$H$47)/14.7))))*1000))</f>
        <v>#VALUE!</v>
      </c>
      <c r="BA62" t="e">
        <f>AZ62/[1]Sheet11!$H$47</f>
        <v>#VALUE!</v>
      </c>
      <c r="BB62" t="e">
        <f>IF($E$224&lt;=1,ABS(1/(([1]Sheet11!$H$54/AZ62)-(([1]Sheet11!$H$54)/[1]Sheet11!$H$47))),($E$224/(([1]Sheet11!$H$54/AZ62)-(([1]Sheet11!$H$54-BD62)/[1]Sheet11!$H$47))))</f>
        <v>#VALUE!</v>
      </c>
      <c r="BC62" t="e">
        <f>(BB62/[1]Sheet11!$H$47)</f>
        <v>#VALUE!</v>
      </c>
      <c r="BD62" t="e">
        <f>IF([1]Sheet11!$H$47=400,((AX62*4389120*($D$146^(1+$J$80))/($J$81*($D$150^$J$80)))*(1.26/(3+1/$J$80))^$J$80*AW62/$AW$70),((AX62*(400/[1]Sheet11!$H$47)*4389120*($D$146^(1+$J$80)))/($J$81*($D$150^$J$80)))*(1.3/(3+1/$J$80))^$J$80*AW62/$AW$70)</f>
        <v>#VALUE!</v>
      </c>
      <c r="BE62" t="e">
        <f>IF([1]Sheet11!$H$47=400,((AX62/14.7)*([1]Sheet11!$H$47/1000)*$G$129)/((AW62/'Oil-Based Mud 1'!AV62*60)*[1]Sheet10!$AL$629*([1]Sheet11!$H$54)),((AX62*(400/[1]Sheet11!$H$47)/14.7)*([1]Sheet11!$H$47/1000)*$G$129)/((AW62/'Oil-Based Mud 1'!AV62*60)*[1]Sheet10!$AL$629*([1]Sheet11!$H$54)))+1.6</f>
        <v>#VALUE!</v>
      </c>
      <c r="BF62" t="e">
        <f t="shared" si="6"/>
        <v>#DIV/0!</v>
      </c>
      <c r="BH62">
        <v>0.36659680946353301</v>
      </c>
      <c r="BJ62">
        <f>IF(AV62=0,"0",SQRT(((2*[1]Sheet11!$G$36/2*AV62)/[1]Sheet11!$H$48*((1-([1]Sheet10!$AL$625*[1]Sheet10!$AL$627))*[1]Sheet10!$AL$631/([1]Sheet10!$AL$628*[1]Sheet10!$AL$627))*60*39.37+([1]Sheet11!$G$36/2)^2)))</f>
        <v>24.667547771701333</v>
      </c>
      <c r="BM62" s="429">
        <f>((([1]Sheet11!$H$47/BU62)-1)*LN(BP62/([1]Sheet11!$G$36/2)))</f>
        <v>3.241261057377316</v>
      </c>
      <c r="BO62" s="17">
        <v>820</v>
      </c>
      <c r="BP62">
        <f>SQRT(((2*[1]Sheet11!$G$36/2*BO62)/[1]Sheet11!$H$48*((1-([1]Sheet10!$AL$625*[1]Sheet10!$AL$627))*[1]Sheet10!$AL$631/([1]Sheet10!$AL$628*[1]Sheet10!$AL$627))*60*39.37))</f>
        <v>15.354798166131854</v>
      </c>
      <c r="BQ62" s="428" t="e">
        <f t="shared" si="11"/>
        <v>#REF!</v>
      </c>
      <c r="BS62">
        <v>33.488249722537603</v>
      </c>
      <c r="BU62">
        <v>67</v>
      </c>
      <c r="BW62">
        <f>SQRT(((2*[1]Sheet11!$G$36/2*BO62)/[1]Sheet11!$H$48*((1-([1]Sheet10!$AM$625*[1]Sheet10!$AM$627))*[1]Sheet10!$AM$631/([1]Sheet10!$AM$628*[1]Sheet10!$AM$627))*60*39.37))</f>
        <v>29.309406123765285</v>
      </c>
      <c r="BX62">
        <f>SQRT(((2*[1]Sheet11!$G$36/2*BO62)/[1]Sheet11!$H$48*((1-([1]Sheet10!$AN$625*[1]Sheet10!$AN$627))*[1]Sheet10!$AN$631/([1]Sheet10!$AN$628*[1]Sheet10!$AN$627))*60*39.37))</f>
        <v>21.268679115435823</v>
      </c>
      <c r="BZ62" t="e">
        <f t="shared" ca="1" si="7"/>
        <v>#NAME?</v>
      </c>
      <c r="CA62" t="e">
        <f ca="1">(CE62*[1]Sheet10!$AL$629/(7.08*[1]Sheet11!$H$53*(CF62)))*1000*LN(([1]Sheet11!$H$52*12)/(BP62))</f>
        <v>#NAME?</v>
      </c>
      <c r="CB62" t="e">
        <f ca="1">LN(BP62/([1]Sheet11!$G$36/2))/((LN(([1]Sheet11!$H$52*12)/([1]Sheet11!$G$36/2))/CA62)-LN(([1]Sheet11!$H$52*12)/BP62)/[1]Sheet11!$H$47)</f>
        <v>#NAME?</v>
      </c>
      <c r="CC62" t="e">
        <f ca="1">((([1]Sheet11!$H$47/CB62)-1)*LN(BP62/([1]Sheet11!$G$36/2)))</f>
        <v>#NAME?</v>
      </c>
      <c r="CD62" t="e">
        <f t="shared" ca="1" si="8"/>
        <v>#NAME?</v>
      </c>
      <c r="CE62" t="e">
        <f t="shared" ca="1" si="9"/>
        <v>#NAME?</v>
      </c>
      <c r="CF62" t="e">
        <f ca="1">CE62*[1]Sheet10!$AL$629*LN([1]Sheet11!$H$52*12/([1]Sheet11!$G$36/2))/(0.00708*[1]Sheet11!$H$47*[1]Sheet11!$H$53)</f>
        <v>#NAME?</v>
      </c>
      <c r="CH62" s="17">
        <v>0</v>
      </c>
      <c r="CI62" s="17">
        <v>0</v>
      </c>
      <c r="CK62">
        <f>SQRT(((2*[1]Sheet11!$G$36/2*AV63)/[1]Sheet11!$H$48*((1-([1]Sheet10!$AL$625*[1]Sheet10!$AL$627))*[1]Sheet10!$AL$631/([1]Sheet10!$AL$628*[1]Sheet10!$AL$627))*60*39.37))</f>
        <v>27.262611806908662</v>
      </c>
      <c r="CM62" s="430">
        <v>0</v>
      </c>
      <c r="CN62" s="431">
        <v>4599786</v>
      </c>
      <c r="CO62" s="432">
        <v>0</v>
      </c>
      <c r="CP62" s="433">
        <v>0</v>
      </c>
      <c r="CR62" t="e">
        <f>((([1]Sheet11!$H$47/CH62)-0.8)*LN(CK62/([1]Sheet11!$G$36/2)))</f>
        <v>#DIV/0!</v>
      </c>
    </row>
    <row r="63" spans="1:96" ht="15" x14ac:dyDescent="0.25">
      <c r="A63" s="544" t="s">
        <v>20</v>
      </c>
      <c r="B63" s="545">
        <v>21.983786347421901</v>
      </c>
      <c r="C63" s="280">
        <v>340.64</v>
      </c>
      <c r="D63" s="556">
        <v>112.117310371852</v>
      </c>
      <c r="E63" s="407">
        <v>116.30651866853501</v>
      </c>
      <c r="F63" s="407">
        <v>123.843603345107</v>
      </c>
      <c r="G63" s="407">
        <v>114.741515487138</v>
      </c>
      <c r="H63" s="54">
        <v>8.0559355525155798</v>
      </c>
      <c r="I63" s="413" t="s">
        <v>245</v>
      </c>
      <c r="J63" s="415">
        <v>1487.25597963772</v>
      </c>
      <c r="K63" s="407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>
        <v>43.594175821451302</v>
      </c>
      <c r="AL63" s="9">
        <v>269.94400018684399</v>
      </c>
      <c r="AM63" s="17"/>
      <c r="AN63" s="400">
        <v>300.731736095717</v>
      </c>
      <c r="AO63" s="17">
        <v>12.806439912578499</v>
      </c>
      <c r="AP63" s="17"/>
      <c r="AQ63" s="400">
        <v>203.55958856120401</v>
      </c>
      <c r="AR63" s="17">
        <v>3.06262533491459</v>
      </c>
      <c r="AS63" s="17"/>
      <c r="AT63" s="17">
        <v>0</v>
      </c>
      <c r="AU63" s="101">
        <v>15.5102920477647</v>
      </c>
      <c r="AV63" s="17">
        <v>2585</v>
      </c>
      <c r="AW63" s="102">
        <v>0</v>
      </c>
      <c r="AX63" s="1" t="e">
        <f>IF([1]Sheet11!$H$47&gt;=400,AT63,IF($J$137&lt;=200,((($H$119-($H$120*$H$121))/(($H$119-($H$120*$H$121*EXP(-$H$121*AW63)))))*(($J$136/($J$136+100))*$J$136))*7.5*(400/[1]Sheet11!$H$47),IF($J$137&lt;=250,((($H$119-($H$120*$H$121))/(($H$119-($H$120*$H$121*EXP(-$H$121*AW63)))))*(($J$136/($J$136+100))))*$J$136*7*(400/[1]Sheet11!$H$47),IF($J$137&lt;300,((($H$119-($H$120*$H$121))/(($H$119-($H$120*$H$121*EXP(-$H$121*AW63)))))*(($J$136/($J$136+100))))*$J$136*8*(400/[1]Sheet11!$H$47),IF(AND([1]Sheet11!$H$47&lt;=50,$J$137&gt;=300),((($H$119-($H$120*$H$121))/(($H$119-($H$120*$H$121*EXP(-$H$121*AW63)))))*(($J$136/($J$136+100))*$J$136))*(400/[1]Sheet11!$H$47),IF(AND([1]Sheet11!$H$47&gt;50,[1]Sheet11!$H$47&lt;=200,$J$137&gt;=300),((($H$119-($H$120*$H$121))/(($H$119-($H$120*$H$121*EXP(-$H$121*AW63)))))*(($J$136/($J$136+100))*$J$136))*3.5*(400/[1]Sheet11!$H$47))))))+2)</f>
        <v>#VALUE!</v>
      </c>
      <c r="AY63" s="1" t="e">
        <f t="shared" si="10"/>
        <v>#VALUE!</v>
      </c>
      <c r="AZ63" t="e">
        <f>IF([1]Sheet11!$H$47=400,((((AW63/AV63)/$G$129)*$G$129*60*[1]Sheet10!$AL$629*[1]Sheet11!$H$54/(($G$129*(AX63/14.7))))*1000),((((AW63/AV63)/$G$129)*$G$129*60*[1]Sheet10!$AL$629*[1]Sheet11!$H$54/(($G$129*(AX63*(400/[1]Sheet11!$H$47)/14.7))))*1000))</f>
        <v>#VALUE!</v>
      </c>
      <c r="BA63" t="e">
        <f>AZ63/[1]Sheet11!$H$47</f>
        <v>#VALUE!</v>
      </c>
      <c r="BB63" t="e">
        <f>IF($E$224&lt;=1,ABS(1/(([1]Sheet11!$H$54/AZ63)-(([1]Sheet11!$H$54)/[1]Sheet11!$H$47))),($E$224/(([1]Sheet11!$H$54/AZ63)-(([1]Sheet11!$H$54-BD63)/[1]Sheet11!$H$47))))</f>
        <v>#VALUE!</v>
      </c>
      <c r="BC63" t="e">
        <f>(BB63/[1]Sheet11!$H$47)</f>
        <v>#VALUE!</v>
      </c>
      <c r="BD63" t="e">
        <f>IF([1]Sheet11!$H$47=400,((AX63*4389120*($D$146^(1+$J$80))/($J$81*($D$150^$J$80)))*(1.26/(3+1/$J$80))^$J$80*AW63/$AW$70),((AX63*(400/[1]Sheet11!$H$47)*4389120*($D$146^(1+$J$80)))/($J$81*($D$150^$J$80)))*(1.3/(3+1/$J$80))^$J$80*AW63/$AW$70)</f>
        <v>#VALUE!</v>
      </c>
      <c r="BE63" t="e">
        <f>IF([1]Sheet11!$H$47=400,((AX63/14.7)*([1]Sheet11!$H$47/1000)*$G$129)/((AW63/'Oil-Based Mud 1'!AV63*60)*[1]Sheet10!$AL$629*([1]Sheet11!$H$54)),((AX63*(400/[1]Sheet11!$H$47)/14.7)*([1]Sheet11!$H$47/1000)*$G$129)/((AW63/'Oil-Based Mud 1'!AV63*60)*[1]Sheet10!$AL$629*([1]Sheet11!$H$54)))+1.6</f>
        <v>#VALUE!</v>
      </c>
      <c r="BF63" t="e">
        <f t="shared" si="6"/>
        <v>#DIV/0!</v>
      </c>
      <c r="BH63">
        <v>0.364353072055079</v>
      </c>
      <c r="BJ63">
        <f>IF(AV63=0,"0",SQRT(((2*[1]Sheet11!$G$36/2*AV63)/[1]Sheet11!$H$48*((1-([1]Sheet10!$AL$625*[1]Sheet10!$AL$627))*[1]Sheet10!$AL$631/([1]Sheet10!$AL$628*[1]Sheet10!$AL$627))*60*39.37+([1]Sheet11!$G$36/2)^2)))</f>
        <v>27.427176350003577</v>
      </c>
      <c r="BM63" s="429">
        <f>((([1]Sheet11!$H$47/BU63)-1)*LN(BP63/([1]Sheet11!$G$36/2)))</f>
        <v>3.1788167381265273</v>
      </c>
      <c r="BO63" s="17">
        <v>770</v>
      </c>
      <c r="BP63">
        <f>SQRT(((2*[1]Sheet11!$G$36/2*BO63)/[1]Sheet11!$H$48*((1-([1]Sheet10!$AL$625*[1]Sheet10!$AL$627))*[1]Sheet10!$AL$631/([1]Sheet10!$AL$628*[1]Sheet10!$AL$627))*60*39.37))</f>
        <v>14.87930165619823</v>
      </c>
      <c r="BQ63" s="428" t="e">
        <f t="shared" si="11"/>
        <v>#REF!</v>
      </c>
      <c r="BS63">
        <v>33.5854512125021</v>
      </c>
      <c r="BU63">
        <v>67</v>
      </c>
      <c r="BW63">
        <f>SQRT(((2*[1]Sheet11!$G$36/2*BO63)/[1]Sheet11!$H$48*((1-([1]Sheet10!$AM$625*[1]Sheet10!$AM$627))*[1]Sheet10!$AM$631/([1]Sheet10!$AM$628*[1]Sheet10!$AM$627))*60*39.37))</f>
        <v>28.401773202167043</v>
      </c>
      <c r="BX63">
        <f>SQRT(((2*[1]Sheet11!$G$36/2*BO63)/[1]Sheet11!$H$48*((1-([1]Sheet10!$AN$625*[1]Sheet10!$AN$627))*[1]Sheet10!$AN$631/([1]Sheet10!$AN$628*[1]Sheet10!$AN$627))*60*39.37))</f>
        <v>20.610045730557172</v>
      </c>
      <c r="BZ63" t="e">
        <f t="shared" ca="1" si="7"/>
        <v>#NAME?</v>
      </c>
      <c r="CA63" t="e">
        <f ca="1">(CE63*[1]Sheet10!$AL$629/(7.08*[1]Sheet11!$H$53*(CF63)))*1000*LN(([1]Sheet11!$H$52*12)/(BP63))</f>
        <v>#NAME?</v>
      </c>
      <c r="CB63" t="e">
        <f ca="1">LN(BP63/([1]Sheet11!$G$36/2))/((LN(([1]Sheet11!$H$52*12)/([1]Sheet11!$G$36/2))/CA63)-LN(([1]Sheet11!$H$52*12)/BP63)/[1]Sheet11!$H$47)</f>
        <v>#NAME?</v>
      </c>
      <c r="CC63" t="e">
        <f ca="1">((([1]Sheet11!$H$47/CB63)-1)*LN(BP63/([1]Sheet11!$G$36/2)))</f>
        <v>#NAME?</v>
      </c>
      <c r="CD63" t="e">
        <f t="shared" ca="1" si="8"/>
        <v>#NAME?</v>
      </c>
      <c r="CE63" t="e">
        <f t="shared" ca="1" si="9"/>
        <v>#NAME?</v>
      </c>
      <c r="CF63" t="e">
        <f ca="1">CE63*[1]Sheet10!$AL$629*LN([1]Sheet11!$H$52*12/([1]Sheet11!$G$36/2))/(0.00708*[1]Sheet11!$H$47*[1]Sheet11!$H$53)</f>
        <v>#NAME?</v>
      </c>
      <c r="CH63" s="17">
        <v>0</v>
      </c>
      <c r="CI63" s="17">
        <v>0</v>
      </c>
      <c r="CK63">
        <f>SQRT(((2*[1]Sheet11!$G$36/2*AV64)/[1]Sheet11!$H$48*((1-([1]Sheet10!$AL$625*[1]Sheet10!$AL$627))*[1]Sheet10!$AL$631/([1]Sheet10!$AL$628*[1]Sheet10!$AL$627))*60*39.37))</f>
        <v>28.297611883694476</v>
      </c>
      <c r="CM63" s="430">
        <v>0</v>
      </c>
      <c r="CN63" s="431">
        <v>4599786</v>
      </c>
      <c r="CO63" s="432">
        <v>0</v>
      </c>
      <c r="CP63" s="433">
        <v>0</v>
      </c>
      <c r="CR63" t="e">
        <f>((([1]Sheet11!$H$47/CH63)-0.8)*LN(CK63/([1]Sheet11!$G$36/2)))</f>
        <v>#DIV/0!</v>
      </c>
    </row>
    <row r="64" spans="1:96" ht="15" x14ac:dyDescent="0.25">
      <c r="A64" s="544" t="s">
        <v>23</v>
      </c>
      <c r="B64" s="545">
        <v>14.9489747162469</v>
      </c>
      <c r="C64" s="280">
        <v>170.32</v>
      </c>
      <c r="D64" s="556">
        <v>76.239771052859197</v>
      </c>
      <c r="E64" s="407">
        <v>82.819067616074904</v>
      </c>
      <c r="F64" s="407">
        <v>96.260778077755901</v>
      </c>
      <c r="G64" s="407">
        <v>80.329168336582399</v>
      </c>
      <c r="H64" s="54">
        <v>8.0559355525155798</v>
      </c>
      <c r="I64" s="541" t="s">
        <v>246</v>
      </c>
      <c r="J64" s="543">
        <v>21.060467320830199</v>
      </c>
      <c r="K64" s="407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>
        <v>43.417472010238498</v>
      </c>
      <c r="AL64" s="9">
        <v>270.12070399805702</v>
      </c>
      <c r="AM64" s="17"/>
      <c r="AN64" s="400">
        <v>300.95004650891201</v>
      </c>
      <c r="AO64" s="17">
        <v>12.5881294993833</v>
      </c>
      <c r="AP64" s="17"/>
      <c r="AQ64" s="400">
        <v>203.67155443713099</v>
      </c>
      <c r="AR64" s="17">
        <v>2.9506594589872299</v>
      </c>
      <c r="AS64" s="17"/>
      <c r="AT64" s="17">
        <v>0</v>
      </c>
      <c r="AU64" s="101">
        <v>16.112083384038499</v>
      </c>
      <c r="AV64" s="17">
        <v>2785</v>
      </c>
      <c r="AW64" s="102">
        <v>0</v>
      </c>
      <c r="AX64" s="1" t="e">
        <f>IF([1]Sheet11!$H$47&gt;=400,AT64,IF($J$137&lt;=200,((($H$119-($H$120*$H$121))/(($H$119-($H$120*$H$121*EXP(-$H$121*AW64)))))*(($J$136/($J$136+100))*$J$136))*7.5*(400/[1]Sheet11!$H$47),IF($J$137&lt;=250,((($H$119-($H$120*$H$121))/(($H$119-($H$120*$H$121*EXP(-$H$121*AW64)))))*(($J$136/($J$136+100))))*$J$136*7*(400/[1]Sheet11!$H$47),IF($J$137&lt;300,((($H$119-($H$120*$H$121))/(($H$119-($H$120*$H$121*EXP(-$H$121*AW64)))))*(($J$136/($J$136+100))))*$J$136*8*(400/[1]Sheet11!$H$47),IF(AND([1]Sheet11!$H$47&lt;=50,$J$137&gt;=300),((($H$119-($H$120*$H$121))/(($H$119-($H$120*$H$121*EXP(-$H$121*AW64)))))*(($J$136/($J$136+100))*$J$136))*(400/[1]Sheet11!$H$47),IF(AND([1]Sheet11!$H$47&gt;50,[1]Sheet11!$H$47&lt;=200,$J$137&gt;=300),((($H$119-($H$120*$H$121))/(($H$119-($H$120*$H$121*EXP(-$H$121*AW64)))))*(($J$136/($J$136+100))*$J$136))*3.5*(400/[1]Sheet11!$H$47))))))+2)</f>
        <v>#VALUE!</v>
      </c>
      <c r="AY64" s="1" t="e">
        <f t="shared" si="10"/>
        <v>#VALUE!</v>
      </c>
      <c r="AZ64" t="e">
        <f>IF([1]Sheet11!$H$47=400,((((AW64/AV64)/$G$129)*$G$129*60*[1]Sheet10!$AL$629*[1]Sheet11!$H$54/(($G$129*(AX64/14.7))))*1000),((((AW64/AV64)/$G$129)*$G$129*60*[1]Sheet10!$AL$629*[1]Sheet11!$H$54/(($G$129*(AX64*(400/[1]Sheet11!$H$47)/14.7))))*1000))</f>
        <v>#VALUE!</v>
      </c>
      <c r="BA64" t="e">
        <f>AZ64/[1]Sheet11!$H$47</f>
        <v>#VALUE!</v>
      </c>
      <c r="BB64" t="e">
        <f>IF($E$224&lt;=1,ABS(1/(([1]Sheet11!$H$54/AZ64)-(([1]Sheet11!$H$54)/[1]Sheet11!$H$47))),($E$224/(([1]Sheet11!$H$54/AZ64)-(([1]Sheet11!$H$54-BD64)/[1]Sheet11!$H$47))))</f>
        <v>#VALUE!</v>
      </c>
      <c r="BC64" t="e">
        <f>(BB64/[1]Sheet11!$H$47)</f>
        <v>#VALUE!</v>
      </c>
      <c r="BD64" t="e">
        <f>IF([1]Sheet11!$H$47=400,((AX64*4389120*($D$146^(1+$J$80))/($J$81*($D$150^$J$80)))*(1.26/(3+1/$J$80))^$J$80*AW64/$AW$70),((AX64*(400/[1]Sheet11!$H$47)*4389120*($D$146^(1+$J$80)))/($J$81*($D$150^$J$80)))*(1.3/(3+1/$J$80))^$J$80*AW64/$AW$70)</f>
        <v>#VALUE!</v>
      </c>
      <c r="BE64" t="e">
        <f>IF([1]Sheet11!$H$47=400,((AX64/14.7)*([1]Sheet11!$H$47/1000)*$G$129)/((AW64/'Oil-Based Mud 1'!AV64*60)*[1]Sheet10!$AL$629*([1]Sheet11!$H$54)),((AX64*(400/[1]Sheet11!$H$47)/14.7)*([1]Sheet11!$H$47/1000)*$G$129)/((AW64/'Oil-Based Mud 1'!AV64*60)*[1]Sheet10!$AL$629*([1]Sheet11!$H$54)))+1.6</f>
        <v>#VALUE!</v>
      </c>
      <c r="BF64" t="e">
        <f t="shared" si="6"/>
        <v>#DIV/0!</v>
      </c>
      <c r="BH64">
        <v>0.36218701688754801</v>
      </c>
      <c r="BJ64">
        <f>IF(AV64=0,"0",SQRT(((2*[1]Sheet11!$G$36/2*AV64)/[1]Sheet11!$H$48*((1-([1]Sheet10!$AL$625*[1]Sheet10!$AL$627))*[1]Sheet10!$AL$631/([1]Sheet10!$AL$628*[1]Sheet10!$AL$627))*60*39.37+([1]Sheet11!$G$36/2)^2)))</f>
        <v>28.4561915638795</v>
      </c>
      <c r="BM64" s="429">
        <f>((([1]Sheet11!$H$47/BU64)-1)*LN(BP64/([1]Sheet11!$G$36/2)))</f>
        <v>3.1121784748623136</v>
      </c>
      <c r="BO64" s="17">
        <v>720</v>
      </c>
      <c r="BP64">
        <f>SQRT(((2*[1]Sheet11!$G$36/2*BO64)/[1]Sheet11!$H$48*((1-([1]Sheet10!$AL$625*[1]Sheet10!$AL$627))*[1]Sheet10!$AL$631/([1]Sheet10!$AL$628*[1]Sheet10!$AL$627))*60*39.37))</f>
        <v>14.388099555870488</v>
      </c>
      <c r="BQ64" s="428" t="e">
        <f t="shared" si="11"/>
        <v>#REF!</v>
      </c>
      <c r="BS64">
        <v>34.001972911850402</v>
      </c>
      <c r="BU64">
        <v>67</v>
      </c>
      <c r="BW64">
        <f>SQRT(((2*[1]Sheet11!$G$36/2*BO64)/[1]Sheet11!$H$48*((1-([1]Sheet10!$AM$625*[1]Sheet10!$AM$627))*[1]Sheet10!$AM$631/([1]Sheet10!$AM$628*[1]Sheet10!$AM$627))*60*39.37))</f>
        <v>27.464161278416235</v>
      </c>
      <c r="BX64">
        <f>SQRT(((2*[1]Sheet11!$G$36/2*BO64)/[1]Sheet11!$H$48*((1-([1]Sheet10!$AN$625*[1]Sheet10!$AN$627))*[1]Sheet10!$AN$631/([1]Sheet10!$AN$628*[1]Sheet10!$AN$627))*60*39.37))</f>
        <v>19.929657767155458</v>
      </c>
      <c r="BZ64" t="e">
        <f t="shared" ca="1" si="7"/>
        <v>#NAME?</v>
      </c>
      <c r="CA64" t="e">
        <f ca="1">(CE64*[1]Sheet10!$AL$629/(7.08*[1]Sheet11!$H$53*(CF64)))*1000*LN(([1]Sheet11!$H$52*12)/(BP64))</f>
        <v>#NAME?</v>
      </c>
      <c r="CB64" t="e">
        <f ca="1">LN(BP64/([1]Sheet11!$G$36/2))/((LN(([1]Sheet11!$H$52*12)/([1]Sheet11!$G$36/2))/CA64)-LN(([1]Sheet11!$H$52*12)/BP64)/[1]Sheet11!$H$47)</f>
        <v>#NAME?</v>
      </c>
      <c r="CC64" t="e">
        <f ca="1">((([1]Sheet11!$H$47/CB64)-1)*LN(BP64/([1]Sheet11!$G$36/2)))</f>
        <v>#NAME?</v>
      </c>
      <c r="CD64" t="e">
        <f t="shared" ca="1" si="8"/>
        <v>#NAME?</v>
      </c>
      <c r="CE64" t="e">
        <f t="shared" ca="1" si="9"/>
        <v>#NAME?</v>
      </c>
      <c r="CF64" t="e">
        <f ca="1">CE64*[1]Sheet10!$AL$629*LN([1]Sheet11!$H$52*12/([1]Sheet11!$G$36/2))/(0.00708*[1]Sheet11!$H$47*[1]Sheet11!$H$53)</f>
        <v>#NAME?</v>
      </c>
      <c r="CH64" s="17">
        <v>0</v>
      </c>
      <c r="CI64" s="17">
        <v>0</v>
      </c>
      <c r="CK64">
        <f>SQRT(((2*[1]Sheet11!$G$36/2*AV65)/[1]Sheet11!$H$48*((1-([1]Sheet10!$AL$625*[1]Sheet10!$AL$627))*[1]Sheet10!$AL$631/([1]Sheet10!$AL$628*[1]Sheet10!$AL$627))*60*39.37))</f>
        <v>29.296069260332828</v>
      </c>
      <c r="CM64" s="430">
        <v>0</v>
      </c>
      <c r="CN64" s="431">
        <v>4599786</v>
      </c>
      <c r="CO64" s="432">
        <v>0</v>
      </c>
      <c r="CP64" s="433">
        <v>0</v>
      </c>
      <c r="CR64" t="e">
        <f>((([1]Sheet11!$H$47/CH64)-0.8)*LN(CK64/([1]Sheet11!$G$36/2)))</f>
        <v>#DIV/0!</v>
      </c>
    </row>
    <row r="65" spans="1:96" ht="15" x14ac:dyDescent="0.25">
      <c r="A65" s="544" t="s">
        <v>25</v>
      </c>
      <c r="B65" s="545">
        <v>6.1554601772781403</v>
      </c>
      <c r="C65" s="280">
        <v>10.219200000000001</v>
      </c>
      <c r="D65" s="556">
        <v>31.3928469041185</v>
      </c>
      <c r="E65" s="407">
        <v>51.340863626762399</v>
      </c>
      <c r="F65" s="407">
        <v>34.618490291269403</v>
      </c>
      <c r="G65" s="407">
        <v>30.303414338348201</v>
      </c>
      <c r="H65" s="54">
        <v>8.0559355525155798</v>
      </c>
      <c r="I65" s="409" t="s">
        <v>244</v>
      </c>
      <c r="J65" s="412">
        <v>0.66048677927133104</v>
      </c>
      <c r="K65" s="407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>
        <v>43.252773536064403</v>
      </c>
      <c r="AL65" s="9">
        <v>270.285402472231</v>
      </c>
      <c r="AM65" s="17"/>
      <c r="AN65" s="400">
        <v>301.15755996313902</v>
      </c>
      <c r="AO65" s="17">
        <v>12.3806160451563</v>
      </c>
      <c r="AP65" s="17"/>
      <c r="AQ65" s="400">
        <v>203.772074798387</v>
      </c>
      <c r="AR65" s="17">
        <v>2.8501390977320802</v>
      </c>
      <c r="AS65" s="17"/>
      <c r="AT65" s="17">
        <v>0</v>
      </c>
      <c r="AU65" s="101">
        <v>16.692636693156501</v>
      </c>
      <c r="AV65" s="17">
        <v>2985</v>
      </c>
      <c r="AW65" s="102">
        <v>0</v>
      </c>
      <c r="AX65" s="1" t="e">
        <f>IF([1]Sheet11!$H$47&gt;=400,AT65,IF($J$137&lt;=200,((($H$119-($H$120*$H$121))/(($H$119-($H$120*$H$121*EXP(-$H$121*AW65)))))*(($J$136/($J$136+100))*$J$136))*7.5*(400/[1]Sheet11!$H$47),IF($J$137&lt;=250,((($H$119-($H$120*$H$121))/(($H$119-($H$120*$H$121*EXP(-$H$121*AW65)))))*(($J$136/($J$136+100))))*$J$136*7*(400/[1]Sheet11!$H$47),IF($J$137&lt;300,((($H$119-($H$120*$H$121))/(($H$119-($H$120*$H$121*EXP(-$H$121*AW65)))))*(($J$136/($J$136+100))))*$J$136*8*(400/[1]Sheet11!$H$47),IF(AND([1]Sheet11!$H$47&lt;=50,$J$137&gt;=300),((($H$119-($H$120*$H$121))/(($H$119-($H$120*$H$121*EXP(-$H$121*AW65)))))*(($J$136/($J$136+100))*$J$136))*(400/[1]Sheet11!$H$47),IF(AND([1]Sheet11!$H$47&gt;50,[1]Sheet11!$H$47&lt;=200,$J$137&gt;=300),((($H$119-($H$120*$H$121))/(($H$119-($H$120*$H$121*EXP(-$H$121*AW65)))))*(($J$136/($J$136+100))*$J$136))*3.5*(400/[1]Sheet11!$H$47))))))+2)</f>
        <v>#VALUE!</v>
      </c>
      <c r="AY65" s="1" t="e">
        <f t="shared" si="10"/>
        <v>#VALUE!</v>
      </c>
      <c r="AZ65" t="e">
        <f>IF([1]Sheet11!$H$47=400,((((AW65/AV65)/$G$129)*$G$129*60*[1]Sheet10!$AL$629*[1]Sheet11!$H$54/(($G$129*(AX65/14.7))))*1000),((((AW65/AV65)/$G$129)*$G$129*60*[1]Sheet10!$AL$629*[1]Sheet11!$H$54/(($G$129*(AX65*(400/[1]Sheet11!$H$47)/14.7))))*1000))</f>
        <v>#VALUE!</v>
      </c>
      <c r="BA65" t="e">
        <f>AZ65/[1]Sheet11!$H$47</f>
        <v>#VALUE!</v>
      </c>
      <c r="BB65" t="e">
        <f>IF($E$224&lt;=1,ABS(1/(([1]Sheet11!$H$54/AZ65)-(([1]Sheet11!$H$54)/[1]Sheet11!$H$47))),($E$224/(([1]Sheet11!$H$54/AZ65)-(([1]Sheet11!$H$54-BD65)/[1]Sheet11!$H$47))))</f>
        <v>#VALUE!</v>
      </c>
      <c r="BC65" t="e">
        <f>(BB65/[1]Sheet11!$H$47)</f>
        <v>#VALUE!</v>
      </c>
      <c r="BD65" t="e">
        <f>IF([1]Sheet11!$H$47=400,((AX65*4389120*($D$146^(1+$J$80))/($J$81*($D$150^$J$80)))*(1.26/(3+1/$J$80))^$J$80*AW65/$AW$70),((AX65*(400/[1]Sheet11!$H$47)*4389120*($D$146^(1+$J$80)))/($J$81*($D$150^$J$80)))*(1.3/(3+1/$J$80))^$J$80*AW65/$AW$70)</f>
        <v>#VALUE!</v>
      </c>
      <c r="BE65" t="e">
        <f>IF([1]Sheet11!$H$47=400,((AX65/14.7)*([1]Sheet11!$H$47/1000)*$G$129)/((AW65/'Oil-Based Mud 1'!AV65*60)*[1]Sheet10!$AL$629*([1]Sheet11!$H$54)),((AX65*(400/[1]Sheet11!$H$47)/14.7)*([1]Sheet11!$H$47/1000)*$G$129)/((AW65/'Oil-Based Mud 1'!AV65*60)*[1]Sheet10!$AL$629*([1]Sheet11!$H$54)))+1.6</f>
        <v>#VALUE!</v>
      </c>
      <c r="BF65" t="e">
        <f t="shared" si="6"/>
        <v>#DIV/0!</v>
      </c>
      <c r="BH65">
        <v>0.360094383025647</v>
      </c>
      <c r="BJ65">
        <f>IF(AV65=0,"0",SQRT(((2*[1]Sheet11!$G$36/2*AV65)/[1]Sheet11!$H$48*((1-([1]Sheet10!$AL$625*[1]Sheet10!$AL$627))*[1]Sheet10!$AL$631/([1]Sheet10!$AL$628*[1]Sheet10!$AL$627))*60*39.37+([1]Sheet11!$G$36/2)^2)))</f>
        <v>29.449272896053277</v>
      </c>
      <c r="BM65" s="429">
        <f>((([1]Sheet11!$H$47/BU65)-1)*LN(BP65/([1]Sheet11!$G$36/2)))</f>
        <v>3.0407420909060687</v>
      </c>
      <c r="BO65" s="17">
        <v>670</v>
      </c>
      <c r="BP65">
        <f>SQRT(((2*[1]Sheet11!$G$36/2*BO65)/[1]Sheet11!$H$48*((1-([1]Sheet10!$AL$625*[1]Sheet10!$AL$627))*[1]Sheet10!$AL$631/([1]Sheet10!$AL$628*[1]Sheet10!$AL$627))*60*39.37))</f>
        <v>13.879524483322104</v>
      </c>
      <c r="BQ65" s="428" t="e">
        <f t="shared" si="11"/>
        <v>#REF!</v>
      </c>
      <c r="BS65">
        <v>34.219369072991199</v>
      </c>
      <c r="BU65">
        <v>67</v>
      </c>
      <c r="BW65">
        <f>SQRT(((2*[1]Sheet11!$G$36/2*BO65)/[1]Sheet11!$H$48*((1-([1]Sheet10!$AM$625*[1]Sheet10!$AM$627))*[1]Sheet10!$AM$631/([1]Sheet10!$AM$628*[1]Sheet10!$AM$627))*60*39.37))</f>
        <v>26.493387635906085</v>
      </c>
      <c r="BX65">
        <f>SQRT(((2*[1]Sheet11!$G$36/2*BO65)/[1]Sheet11!$H$48*((1-([1]Sheet10!$AN$625*[1]Sheet10!$AN$627))*[1]Sheet10!$AN$631/([1]Sheet10!$AN$628*[1]Sheet10!$AN$627))*60*39.37))</f>
        <v>19.225205653418165</v>
      </c>
      <c r="BZ65" t="e">
        <f t="shared" ca="1" si="7"/>
        <v>#NAME?</v>
      </c>
      <c r="CA65" t="e">
        <f ca="1">(CE65*[1]Sheet10!$AL$629/(7.08*[1]Sheet11!$H$53*(CF65)))*1000*LN(([1]Sheet11!$H$52*12)/(BP65))</f>
        <v>#NAME?</v>
      </c>
      <c r="CB65" t="e">
        <f ca="1">LN(BP65/([1]Sheet11!$G$36/2))/((LN(([1]Sheet11!$H$52*12)/([1]Sheet11!$G$36/2))/CA65)-LN(([1]Sheet11!$H$52*12)/BP65)/[1]Sheet11!$H$47)</f>
        <v>#NAME?</v>
      </c>
      <c r="CC65" t="e">
        <f ca="1">((([1]Sheet11!$H$47/CB65)-1)*LN(BP65/([1]Sheet11!$G$36/2)))</f>
        <v>#NAME?</v>
      </c>
      <c r="CD65" t="e">
        <f t="shared" ca="1" si="8"/>
        <v>#NAME?</v>
      </c>
      <c r="CE65" t="e">
        <f t="shared" ca="1" si="9"/>
        <v>#NAME?</v>
      </c>
      <c r="CF65" t="e">
        <f ca="1">CE65*[1]Sheet10!$AL$629*LN([1]Sheet11!$H$52*12/([1]Sheet11!$G$36/2))/(0.00708*[1]Sheet11!$H$47*[1]Sheet11!$H$53)</f>
        <v>#NAME?</v>
      </c>
      <c r="CH65" s="17">
        <v>0</v>
      </c>
      <c r="CI65" s="17">
        <v>0</v>
      </c>
      <c r="CK65">
        <f>SQRT(((2*[1]Sheet11!$G$36/2*AV66)/[1]Sheet11!$H$48*((1-([1]Sheet10!$AL$625*[1]Sheet10!$AL$627))*[1]Sheet10!$AL$631/([1]Sheet10!$AL$628*[1]Sheet10!$AL$627))*60*39.37))</f>
        <v>30.26160124468349</v>
      </c>
      <c r="CM65" s="430">
        <v>0</v>
      </c>
      <c r="CN65" s="431">
        <v>4599786</v>
      </c>
      <c r="CO65" s="432">
        <v>0</v>
      </c>
      <c r="CP65" s="433">
        <v>0</v>
      </c>
      <c r="CR65" t="e">
        <f>((([1]Sheet11!$H$47/CH65)-0.8)*LN(CK65/([1]Sheet11!$G$36/2)))</f>
        <v>#DIV/0!</v>
      </c>
    </row>
    <row r="66" spans="1:96" ht="15" x14ac:dyDescent="0.25">
      <c r="A66" s="544" t="s">
        <v>28</v>
      </c>
      <c r="B66" s="545">
        <v>5.2761087233812596</v>
      </c>
      <c r="C66" s="549">
        <v>5.1096000000000004</v>
      </c>
      <c r="D66" s="556">
        <v>26.908154489244399</v>
      </c>
      <c r="E66" s="407">
        <v>50.3362400951886</v>
      </c>
      <c r="F66" s="407">
        <v>26.908154489244399</v>
      </c>
      <c r="G66" s="407">
        <v>26.908154489244399</v>
      </c>
      <c r="H66" s="54">
        <v>8.0559355525155798</v>
      </c>
      <c r="I66" s="413" t="s">
        <v>248</v>
      </c>
      <c r="J66" s="415">
        <v>199.11498579646801</v>
      </c>
      <c r="K66" s="407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>
        <v>43.099053266832598</v>
      </c>
      <c r="AL66" s="9">
        <v>270.439122741463</v>
      </c>
      <c r="AM66" s="17"/>
      <c r="AN66" s="400">
        <v>301.35513806174902</v>
      </c>
      <c r="AO66" s="17">
        <v>12.183037946546699</v>
      </c>
      <c r="AP66" s="17"/>
      <c r="AQ66" s="400">
        <v>203.862975538299</v>
      </c>
      <c r="AR66" s="17">
        <v>2.7592383578193602</v>
      </c>
      <c r="AS66" s="17"/>
      <c r="AT66" s="17">
        <v>0</v>
      </c>
      <c r="AU66" s="101">
        <v>17.2540534270703</v>
      </c>
      <c r="AV66" s="17">
        <v>3185</v>
      </c>
      <c r="AW66" s="102">
        <v>0</v>
      </c>
      <c r="AX66" s="1" t="e">
        <f>IF([1]Sheet11!$H$47&gt;=400,AT66,IF($J$137&lt;=200,((($H$119-($H$120*$H$121))/(($H$119-($H$120*$H$121*EXP(-$H$121*AW66)))))*(($J$136/($J$136+100))*$J$136))*7.5*(400/[1]Sheet11!$H$47),IF($J$137&lt;=250,((($H$119-($H$120*$H$121))/(($H$119-($H$120*$H$121*EXP(-$H$121*AW66)))))*(($J$136/($J$136+100))))*$J$136*7*(400/[1]Sheet11!$H$47),IF($J$137&lt;300,((($H$119-($H$120*$H$121))/(($H$119-($H$120*$H$121*EXP(-$H$121*AW66)))))*(($J$136/($J$136+100))))*$J$136*8*(400/[1]Sheet11!$H$47),IF(AND([1]Sheet11!$H$47&lt;=50,$J$137&gt;=300),((($H$119-($H$120*$H$121))/(($H$119-($H$120*$H$121*EXP(-$H$121*AW66)))))*(($J$136/($J$136+100))*$J$136))*(400/[1]Sheet11!$H$47),IF(AND([1]Sheet11!$H$47&gt;50,[1]Sheet11!$H$47&lt;=200,$J$137&gt;=300),((($H$119-($H$120*$H$121))/(($H$119-($H$120*$H$121*EXP(-$H$121*AW66)))))*(($J$136/($J$136+100))*$J$136))*3.5*(400/[1]Sheet11!$H$47))))))+2)</f>
        <v>#VALUE!</v>
      </c>
      <c r="AY66" s="1" t="e">
        <f t="shared" si="10"/>
        <v>#VALUE!</v>
      </c>
      <c r="AZ66" t="e">
        <f>IF([1]Sheet11!$H$47=400,((((AW66/AV66)/$G$129)*$G$129*60*[1]Sheet10!$AL$629*[1]Sheet11!$H$54/(($G$129*(AX66/14.7))))*1000),((((AW66/AV66)/$G$129)*$G$129*60*[1]Sheet10!$AL$629*[1]Sheet11!$H$54/(($G$129*(AX66*(400/[1]Sheet11!$H$47)/14.7))))*1000))</f>
        <v>#VALUE!</v>
      </c>
      <c r="BA66" t="e">
        <f>AZ66/[1]Sheet11!$H$47</f>
        <v>#VALUE!</v>
      </c>
      <c r="BB66" t="e">
        <f>IF($E$224&lt;=1,ABS(1/(([1]Sheet11!$H$54/AZ66)-(([1]Sheet11!$H$54)/[1]Sheet11!$H$47))),($E$224/(([1]Sheet11!$H$54/AZ66)-(([1]Sheet11!$H$54-BD66)/[1]Sheet11!$H$47))))</f>
        <v>#VALUE!</v>
      </c>
      <c r="BC66" t="e">
        <f>(BB66/[1]Sheet11!$H$47)</f>
        <v>#VALUE!</v>
      </c>
      <c r="BD66" t="e">
        <f>IF([1]Sheet11!$H$47=400,((AX66*4389120*($D$146^(1+$J$80))/($J$81*($D$150^$J$80)))*(1.26/(3+1/$J$80))^$J$80*AW66/$AW$70),((AX66*(400/[1]Sheet11!$H$47)*4389120*($D$146^(1+$J$80)))/($J$81*($D$150^$J$80)))*(1.3/(3+1/$J$80))^$J$80*AW66/$AW$70)</f>
        <v>#VALUE!</v>
      </c>
      <c r="BE66" t="e">
        <f>IF([1]Sheet11!$H$47=400,((AX66/14.7)*([1]Sheet11!$H$47/1000)*$G$129)/((AW66/'Oil-Based Mud 1'!AV66*60)*[1]Sheet10!$AL$629*([1]Sheet11!$H$54)),((AX66*(400/[1]Sheet11!$H$47)/14.7)*([1]Sheet11!$H$47/1000)*$G$129)/((AW66/'Oil-Based Mud 1'!AV66*60)*[1]Sheet10!$AL$629*([1]Sheet11!$H$54)))+1.6</f>
        <v>#VALUE!</v>
      </c>
      <c r="BF66" t="e">
        <f t="shared" si="6"/>
        <v>#DIV/0!</v>
      </c>
      <c r="BH66">
        <v>0.35807124797374201</v>
      </c>
      <c r="BJ66">
        <f>IF(AV66=0,"0",SQRT(((2*[1]Sheet11!$G$36/2*AV66)/[1]Sheet11!$H$48*((1-([1]Sheet10!$AL$625*[1]Sheet10!$AL$627))*[1]Sheet10!$AL$631/([1]Sheet10!$AL$628*[1]Sheet10!$AL$627))*60*39.37+([1]Sheet11!$G$36/2)^2)))</f>
        <v>30.409940971534777</v>
      </c>
      <c r="BM66" s="429">
        <f>((([1]Sheet11!$H$47/BU66)-1)*LN(BP66/([1]Sheet11!$G$36/2)))</f>
        <v>2.9637626493538201</v>
      </c>
      <c r="BO66" s="17">
        <v>620</v>
      </c>
      <c r="BP66">
        <f>SQRT(((2*[1]Sheet11!$G$36/2*BO66)/[1]Sheet11!$H$48*((1-([1]Sheet10!$AL$625*[1]Sheet10!$AL$627))*[1]Sheet10!$AL$631/([1]Sheet10!$AL$628*[1]Sheet10!$AL$627))*60*39.37))</f>
        <v>13.351591326004362</v>
      </c>
      <c r="BQ66" s="428" t="e">
        <f t="shared" si="11"/>
        <v>#REF!</v>
      </c>
      <c r="BS66">
        <v>34.655101646023397</v>
      </c>
      <c r="BU66">
        <v>67</v>
      </c>
      <c r="BW66">
        <f>SQRT(((2*[1]Sheet11!$G$36/2*BO66)/[1]Sheet11!$H$48*((1-([1]Sheet10!$AM$625*[1]Sheet10!$AM$627))*[1]Sheet10!$AM$631/([1]Sheet10!$AM$628*[1]Sheet10!$AM$627))*60*39.37))</f>
        <v>25.485663070163685</v>
      </c>
      <c r="BX66">
        <f>SQRT(((2*[1]Sheet11!$G$36/2*BO66)/[1]Sheet11!$H$48*((1-([1]Sheet10!$AN$625*[1]Sheet10!$AN$627))*[1]Sheet10!$AN$631/([1]Sheet10!$AN$628*[1]Sheet10!$AN$627))*60*39.37))</f>
        <v>18.493939713227782</v>
      </c>
      <c r="BZ66" t="e">
        <f t="shared" ca="1" si="7"/>
        <v>#NAME?</v>
      </c>
      <c r="CA66" t="e">
        <f ca="1">(CE66*[1]Sheet10!$AL$629/(7.08*[1]Sheet11!$H$53*(CF66)))*1000*LN(([1]Sheet11!$H$52*12)/(BP66))</f>
        <v>#NAME?</v>
      </c>
      <c r="CB66" t="e">
        <f ca="1">LN(BP66/([1]Sheet11!$G$36/2))/((LN(([1]Sheet11!$H$52*12)/([1]Sheet11!$G$36/2))/CA66)-LN(([1]Sheet11!$H$52*12)/BP66)/[1]Sheet11!$H$47)</f>
        <v>#NAME?</v>
      </c>
      <c r="CC66" t="e">
        <f ca="1">((([1]Sheet11!$H$47/CB66)-1)*LN(BP66/([1]Sheet11!$G$36/2)))</f>
        <v>#NAME?</v>
      </c>
      <c r="CD66" t="e">
        <f t="shared" ca="1" si="8"/>
        <v>#NAME?</v>
      </c>
      <c r="CE66" t="e">
        <f t="shared" ca="1" si="9"/>
        <v>#NAME?</v>
      </c>
      <c r="CF66" t="e">
        <f ca="1">CE66*[1]Sheet10!$AL$629*LN([1]Sheet11!$H$52*12/([1]Sheet11!$G$36/2))/(0.00708*[1]Sheet11!$H$47*[1]Sheet11!$H$53)</f>
        <v>#NAME?</v>
      </c>
      <c r="CH66" s="17">
        <v>0</v>
      </c>
      <c r="CI66" s="17">
        <v>0</v>
      </c>
      <c r="CK66">
        <f>SQRT(((2*[1]Sheet11!$G$36/2*AV67)/[1]Sheet11!$H$48*((1-([1]Sheet10!$AL$625*[1]Sheet10!$AL$627))*[1]Sheet10!$AL$631/([1]Sheet10!$AL$628*[1]Sheet10!$AL$627))*60*39.37))</f>
        <v>31.197265035227694</v>
      </c>
      <c r="CM66" s="430">
        <v>0</v>
      </c>
      <c r="CN66" s="431">
        <v>4599786</v>
      </c>
      <c r="CO66" s="432">
        <v>0</v>
      </c>
      <c r="CP66" s="433">
        <v>0</v>
      </c>
      <c r="CR66" t="e">
        <f>((([1]Sheet11!$H$47/CH66)-0.8)*LN(CK66/([1]Sheet11!$G$36/2)))</f>
        <v>#DIV/0!</v>
      </c>
    </row>
    <row r="67" spans="1:96" ht="15" x14ac:dyDescent="0.25">
      <c r="A67" s="407"/>
      <c r="B67" s="407"/>
      <c r="C67" s="407"/>
      <c r="D67" s="551" t="s">
        <v>30</v>
      </c>
      <c r="E67" s="557">
        <v>0.1</v>
      </c>
      <c r="F67" s="557">
        <v>0.2</v>
      </c>
      <c r="G67" s="553">
        <v>5</v>
      </c>
      <c r="H67" s="54">
        <v>8.0559355525155798</v>
      </c>
      <c r="I67" s="407"/>
      <c r="J67" s="407"/>
      <c r="K67" s="407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>
        <v>42.955396426679499</v>
      </c>
      <c r="AL67" s="9">
        <v>270.58277958161602</v>
      </c>
      <c r="AM67" s="17"/>
      <c r="AN67" s="400">
        <v>301.54354912294201</v>
      </c>
      <c r="AO67" s="17">
        <v>11.9946268853541</v>
      </c>
      <c r="AP67" s="17"/>
      <c r="AQ67" s="400">
        <v>203.945699157728</v>
      </c>
      <c r="AR67" s="17">
        <v>2.67651473839042</v>
      </c>
      <c r="AS67" s="17"/>
      <c r="AT67" s="17">
        <v>0</v>
      </c>
      <c r="AU67" s="101">
        <v>17.798109772049902</v>
      </c>
      <c r="AV67" s="17">
        <v>3385</v>
      </c>
      <c r="AW67" s="102">
        <v>0</v>
      </c>
      <c r="AX67" s="1" t="e">
        <f>IF([1]Sheet11!$H$47&gt;=400,AT67,IF($J$137&lt;=200,((($H$119-($H$120*$H$121))/(($H$119-($H$120*$H$121*EXP(-$H$121*AW67)))))*(($J$136/($J$136+100))*$J$136))*7.5*(400/[1]Sheet11!$H$47),IF($J$137&lt;=250,((($H$119-($H$120*$H$121))/(($H$119-($H$120*$H$121*EXP(-$H$121*AW67)))))*(($J$136/($J$136+100))))*$J$136*7*(400/[1]Sheet11!$H$47),IF($J$137&lt;300,((($H$119-($H$120*$H$121))/(($H$119-($H$120*$H$121*EXP(-$H$121*AW67)))))*(($J$136/($J$136+100))))*$J$136*8*(400/[1]Sheet11!$H$47),IF(AND([1]Sheet11!$H$47&lt;=50,$J$137&gt;=300),((($H$119-($H$120*$H$121))/(($H$119-($H$120*$H$121*EXP(-$H$121*AW67)))))*(($J$136/($J$136+100))*$J$136))*(400/[1]Sheet11!$H$47),IF(AND([1]Sheet11!$H$47&gt;50,[1]Sheet11!$H$47&lt;=200,$J$137&gt;=300),((($H$119-($H$120*$H$121))/(($H$119-($H$120*$H$121*EXP(-$H$121*AW67)))))*(($J$136/($J$136+100))*$J$136))*3.5*(400/[1]Sheet11!$H$47))))))+2)</f>
        <v>#VALUE!</v>
      </c>
      <c r="AY67" s="1" t="e">
        <f t="shared" si="10"/>
        <v>#VALUE!</v>
      </c>
      <c r="AZ67" t="e">
        <f>IF([1]Sheet11!$H$47=400,((((AW67/AV67)/$G$129)*$G$129*60*[1]Sheet10!$AL$629*[1]Sheet11!$H$54/(($G$129*(AX67/14.7))))*1000),((((AW67/AV67)/$G$129)*$G$129*60*[1]Sheet10!$AL$629*[1]Sheet11!$H$54/(($G$129*(AX67*(400/[1]Sheet11!$H$47)/14.7))))*1000))</f>
        <v>#VALUE!</v>
      </c>
      <c r="BA67" t="e">
        <f>AZ67/[1]Sheet11!$H$47</f>
        <v>#VALUE!</v>
      </c>
      <c r="BB67" t="e">
        <f>IF($E$224&lt;=1,ABS(1/(([1]Sheet11!$H$54/AZ67)-(([1]Sheet11!$H$54)/[1]Sheet11!$H$47))),($E$224/(([1]Sheet11!$H$54/AZ67)-(([1]Sheet11!$H$54-BD67)/[1]Sheet11!$H$47))))</f>
        <v>#VALUE!</v>
      </c>
      <c r="BC67" t="e">
        <f>(BB67/[1]Sheet11!$H$47)</f>
        <v>#VALUE!</v>
      </c>
      <c r="BD67" t="e">
        <f>IF([1]Sheet11!$H$47=400,((AX67*4389120*($D$146^(1+$J$80))/($J$81*($D$150^$J$80)))*(1.26/(3+1/$J$80))^$J$80*AW67/$AW$70),((AX67*(400/[1]Sheet11!$H$47)*4389120*($D$146^(1+$J$80)))/($J$81*($D$150^$J$80)))*(1.3/(3+1/$J$80))^$J$80*AW67/$AW$70)</f>
        <v>#VALUE!</v>
      </c>
      <c r="BE67" t="e">
        <f>IF([1]Sheet11!$H$47=400,((AX67/14.7)*([1]Sheet11!$H$47/1000)*$G$129)/((AW67/'Oil-Based Mud 1'!AV67*60)*[1]Sheet10!$AL$629*([1]Sheet11!$H$54)),((AX67*(400/[1]Sheet11!$H$47)/14.7)*([1]Sheet11!$H$47/1000)*$G$129)/((AW67/'Oil-Based Mud 1'!AV67*60)*[1]Sheet10!$AL$629*([1]Sheet11!$H$54)))+1.7</f>
        <v>#VALUE!</v>
      </c>
      <c r="BF67" t="e">
        <f t="shared" si="6"/>
        <v>#DIV/0!</v>
      </c>
      <c r="BH67">
        <v>0.35611398897774299</v>
      </c>
      <c r="BJ67">
        <f>IF(AV67=0,"0",SQRT(((2*[1]Sheet11!$G$36/2*AV67)/[1]Sheet11!$H$48*((1-([1]Sheet10!$AL$625*[1]Sheet10!$AL$627))*[1]Sheet10!$AL$631/([1]Sheet10!$AL$628*[1]Sheet10!$AL$627))*60*39.37+([1]Sheet11!$G$36/2)^2)))</f>
        <v>31.341176520326108</v>
      </c>
      <c r="BM67" s="429">
        <f>((([1]Sheet11!$H$47/BU67)-1)*LN(BP67/([1]Sheet11!$G$36/2)))</f>
        <v>2.8803070180926111</v>
      </c>
      <c r="BO67" s="17">
        <v>570</v>
      </c>
      <c r="BP67">
        <f>SQRT(((2*[1]Sheet11!$G$36/2*BO67)/[1]Sheet11!$H$48*((1-([1]Sheet10!$AL$625*[1]Sheet10!$AL$627))*[1]Sheet10!$AL$631/([1]Sheet10!$AL$628*[1]Sheet10!$AL$627))*60*39.37))</f>
        <v>12.801905404670514</v>
      </c>
      <c r="BQ67" s="428" t="e">
        <f t="shared" si="11"/>
        <v>#REF!</v>
      </c>
      <c r="BS67">
        <v>34.689472878719499</v>
      </c>
      <c r="BU67">
        <v>67</v>
      </c>
      <c r="BW67">
        <f>SQRT(((2*[1]Sheet11!$G$36/2*BO67)/[1]Sheet11!$H$48*((1-([1]Sheet10!$AM$625*[1]Sheet10!$AM$627))*[1]Sheet10!$AM$631/([1]Sheet10!$AM$628*[1]Sheet10!$AM$627))*60*39.37))</f>
        <v>24.436416591338205</v>
      </c>
      <c r="BX67">
        <f>SQRT(((2*[1]Sheet11!$G$36/2*BO67)/[1]Sheet11!$H$48*((1-([1]Sheet10!$AN$625*[1]Sheet10!$AN$627))*[1]Sheet10!$AN$631/([1]Sheet10!$AN$628*[1]Sheet10!$AN$627))*60*39.37))</f>
        <v>17.73254295967687</v>
      </c>
      <c r="BZ67" t="e">
        <f t="shared" ca="1" si="7"/>
        <v>#NAME?</v>
      </c>
      <c r="CA67" t="e">
        <f ca="1">(CE67*[1]Sheet10!$AL$629/(7.08*[1]Sheet11!$H$53*(CF67)))*1000*LN(([1]Sheet11!$H$52*12)/(BP67))</f>
        <v>#NAME?</v>
      </c>
      <c r="CB67" t="e">
        <f ca="1">LN(BP67/([1]Sheet11!$G$36/2))/((LN(([1]Sheet11!$H$52*12)/([1]Sheet11!$G$36/2))/CA67)-LN(([1]Sheet11!$H$52*12)/BP67)/[1]Sheet11!$H$47)</f>
        <v>#NAME?</v>
      </c>
      <c r="CC67" t="e">
        <f ca="1">((([1]Sheet11!$H$47/CB67)-1)*LN(BP67/([1]Sheet11!$G$36/2)))</f>
        <v>#NAME?</v>
      </c>
      <c r="CD67" t="e">
        <f t="shared" ca="1" si="8"/>
        <v>#NAME?</v>
      </c>
      <c r="CE67" t="e">
        <f t="shared" ca="1" si="9"/>
        <v>#NAME?</v>
      </c>
      <c r="CF67" t="e">
        <f ca="1">CE67*[1]Sheet10!$AL$629*LN([1]Sheet11!$H$52*12/([1]Sheet11!$G$36/2))/(0.00708*[1]Sheet11!$H$47*[1]Sheet11!$H$53)</f>
        <v>#NAME?</v>
      </c>
      <c r="CH67" s="17">
        <v>0</v>
      </c>
      <c r="CI67" s="17">
        <v>0</v>
      </c>
      <c r="CK67">
        <f>SQRT(((2*[1]Sheet11!$G$36/2*AV68)/[1]Sheet11!$H$48*((1-([1]Sheet10!$AL$625*[1]Sheet10!$AL$627))*[1]Sheet10!$AL$631/([1]Sheet10!$AL$628*[1]Sheet10!$AL$627))*60*39.37))</f>
        <v>32.105672107343459</v>
      </c>
      <c r="CM67" s="430">
        <v>0</v>
      </c>
      <c r="CN67" s="431">
        <v>4599786</v>
      </c>
      <c r="CO67" s="432">
        <v>0</v>
      </c>
      <c r="CP67" s="433">
        <v>0</v>
      </c>
      <c r="CR67" t="e">
        <f>((([1]Sheet11!$H$47/CH67)-0.8)*LN(CK67/([1]Sheet11!$G$36/2)))</f>
        <v>#DIV/0!</v>
      </c>
    </row>
    <row r="68" spans="1:96" ht="15" x14ac:dyDescent="0.25">
      <c r="A68" s="407"/>
      <c r="B68" s="407"/>
      <c r="C68" s="407"/>
      <c r="D68" s="407"/>
      <c r="E68" s="407"/>
      <c r="F68" s="407"/>
      <c r="G68" s="407"/>
      <c r="H68" s="54">
        <v>8.0559355525155798</v>
      </c>
      <c r="I68" s="555" t="s">
        <v>251</v>
      </c>
      <c r="J68" s="556"/>
      <c r="K68" s="407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>
        <v>42.820985289918198</v>
      </c>
      <c r="AL68" s="9">
        <v>270.71719071837799</v>
      </c>
      <c r="AM68" s="17"/>
      <c r="AN68" s="400">
        <v>301.72348077619802</v>
      </c>
      <c r="AO68" s="17">
        <v>11.814695232098</v>
      </c>
      <c r="AP68" s="17"/>
      <c r="AQ68" s="400">
        <v>204.02140242374</v>
      </c>
      <c r="AR68" s="17">
        <v>2.6008114723782501</v>
      </c>
      <c r="AS68" s="17"/>
      <c r="AT68" s="17">
        <v>0</v>
      </c>
      <c r="AU68" s="101">
        <v>18.326323050570199</v>
      </c>
      <c r="AV68" s="17">
        <v>3585</v>
      </c>
      <c r="AW68" s="102">
        <v>0</v>
      </c>
      <c r="AX68" s="1" t="e">
        <f>IF([1]Sheet11!$H$47&gt;=400,AT68,IF($J$137&lt;=200,((($H$119-($H$120*$H$121))/(($H$119-($H$120*$H$121*EXP(-$H$121*AW68)))))*(($J$136/($J$136+100))*$J$136))*7.5*(400/[1]Sheet11!$H$47),IF($J$137&lt;=250,((($H$119-($H$120*$H$121))/(($H$119-($H$120*$H$121*EXP(-$H$121*AW68)))))*(($J$136/($J$136+100))))*$J$136*7*(400/[1]Sheet11!$H$47),IF($J$137&lt;300,((($H$119-($H$120*$H$121))/(($H$119-($H$120*$H$121*EXP(-$H$121*AW68)))))*(($J$136/($J$136+100))))*$J$136*8*(400/[1]Sheet11!$H$47),IF(AND([1]Sheet11!$H$47&lt;=50,$J$137&gt;=300),((($H$119-($H$120*$H$121))/(($H$119-($H$120*$H$121*EXP(-$H$121*AW68)))))*(($J$136/($J$136+100))*$J$136))*(400/[1]Sheet11!$H$47),IF(AND([1]Sheet11!$H$47&gt;50,[1]Sheet11!$H$47&lt;=200,$J$137&gt;=300),((($H$119-($H$120*$H$121))/(($H$119-($H$120*$H$121*EXP(-$H$121*AW68)))))*(($J$136/($J$136+100))*$J$136))*3.5*(400/[1]Sheet11!$H$47))))))+2)</f>
        <v>#VALUE!</v>
      </c>
      <c r="AY68" s="1" t="e">
        <f t="shared" si="10"/>
        <v>#VALUE!</v>
      </c>
      <c r="AZ68" t="e">
        <f>IF([1]Sheet11!$H$47=400,((((AW68/AV68)/$G$129)*$G$129*60*[1]Sheet10!$AL$629*[1]Sheet11!$H$54/(($G$129*(AX68/14.7))))*1000),((((AW68/AV68)/$G$129)*$G$129*60*[1]Sheet10!$AL$629*[1]Sheet11!$H$54/(($G$129*(AX68*(400/[1]Sheet11!$H$47)/14.7))))*1000))</f>
        <v>#VALUE!</v>
      </c>
      <c r="BA68" t="e">
        <f>AZ68/[1]Sheet11!$H$47</f>
        <v>#VALUE!</v>
      </c>
      <c r="BB68" t="e">
        <f>IF($E$224&lt;=1,ABS(1/(([1]Sheet11!$H$54/AZ68)-(([1]Sheet11!$H$54)/[1]Sheet11!$H$47))),($E$224/(([1]Sheet11!$H$54/AZ68)-(([1]Sheet11!$H$54-BD68)/[1]Sheet11!$H$47))))</f>
        <v>#VALUE!</v>
      </c>
      <c r="BC68" t="e">
        <f>(BB68/[1]Sheet11!$H$47)</f>
        <v>#VALUE!</v>
      </c>
      <c r="BD68" t="e">
        <f>IF([1]Sheet11!$H$47=400,((AX68*4389120*($D$146^(1+$J$80))/($J$81*($D$150^$J$80)))*(1.26/(3+1/$J$80))^$J$80*AW68/$AW$70),((AX68*(400/[1]Sheet11!$H$47)*4389120*($D$146^(1+$J$80)))/($J$81*($D$150^$J$80)))*(1.3/(3+1/$J$80))^$J$80*AW68/$AW$70)</f>
        <v>#VALUE!</v>
      </c>
      <c r="BE68" t="e">
        <f>IF([1]Sheet11!$H$47=400,((AX68/14.7)*([1]Sheet11!$H$47/1000)*$G$129)/((AW68/'Oil-Based Mud 1'!AV68*60)*[1]Sheet10!$AL$629*([1]Sheet11!$H$54)),((AX68*(400/[1]Sheet11!$H$47)/14.7)*([1]Sheet11!$H$47/1000)*$G$129)/((AW68/'Oil-Based Mud 1'!AV68*60)*[1]Sheet10!$AL$629*([1]Sheet11!$H$54)))+1.7</f>
        <v>#VALUE!</v>
      </c>
      <c r="BF68" t="e">
        <f t="shared" si="6"/>
        <v>#DIV/0!</v>
      </c>
      <c r="BH68">
        <v>0.35421925928963699</v>
      </c>
      <c r="BJ68">
        <f>IF(AV68=0,"0",SQRT(((2*[1]Sheet11!$G$36/2*AV68)/[1]Sheet11!$H$48*((1-([1]Sheet10!$AL$625*[1]Sheet10!$AL$627))*[1]Sheet10!$AL$631/([1]Sheet10!$AL$628*[1]Sheet10!$AL$627))*60*39.37+([1]Sheet11!$G$36/2)^2)))</f>
        <v>32.245529635350259</v>
      </c>
      <c r="BM68" s="429">
        <f>((([1]Sheet11!$H$47/BU68)-1)*LN(BP68/([1]Sheet11!$G$36/2)))</f>
        <v>2.7891845998040634</v>
      </c>
      <c r="BO68" s="17">
        <v>520</v>
      </c>
      <c r="BP68">
        <f>SQRT(((2*[1]Sheet11!$G$36/2*BO68)/[1]Sheet11!$H$48*((1-([1]Sheet10!$AL$625*[1]Sheet10!$AL$627))*[1]Sheet10!$AL$631/([1]Sheet10!$AL$628*[1]Sheet10!$AL$627))*60*39.37))</f>
        <v>12.227533399816549</v>
      </c>
      <c r="BQ68" s="428" t="e">
        <f t="shared" si="11"/>
        <v>#REF!</v>
      </c>
      <c r="BS68">
        <v>34.9510745004469</v>
      </c>
      <c r="BU68">
        <v>67</v>
      </c>
      <c r="BW68">
        <f>SQRT(((2*[1]Sheet11!$G$36/2*BO68)/[1]Sheet11!$H$48*((1-([1]Sheet10!$AM$625*[1]Sheet10!$AM$627))*[1]Sheet10!$AM$631/([1]Sheet10!$AM$628*[1]Sheet10!$AM$627))*60*39.37))</f>
        <v>23.340049047183957</v>
      </c>
      <c r="BX68">
        <f>SQRT(((2*[1]Sheet11!$G$36/2*BO68)/[1]Sheet11!$H$48*((1-([1]Sheet10!$AN$625*[1]Sheet10!$AN$627))*[1]Sheet10!$AN$631/([1]Sheet10!$AN$628*[1]Sheet10!$AN$627))*60*39.37))</f>
        <v>16.936952308991948</v>
      </c>
      <c r="BZ68" t="e">
        <f t="shared" ca="1" si="7"/>
        <v>#NAME?</v>
      </c>
      <c r="CA68" t="e">
        <f ca="1">(CE68*[1]Sheet10!$AL$629/(7.08*[1]Sheet11!$H$53*(CF68)))*1000*LN(([1]Sheet11!$H$52*12)/(BP68))</f>
        <v>#NAME?</v>
      </c>
      <c r="CB68" t="e">
        <f ca="1">LN(BP68/([1]Sheet11!$G$36/2))/((LN(([1]Sheet11!$H$52*12)/([1]Sheet11!$G$36/2))/CA68)-LN(([1]Sheet11!$H$52*12)/BP68)/[1]Sheet11!$H$47)</f>
        <v>#NAME?</v>
      </c>
      <c r="CC68" t="e">
        <f ca="1">((([1]Sheet11!$H$47/CB68)-1)*LN(BP68/([1]Sheet11!$G$36/2)))</f>
        <v>#NAME?</v>
      </c>
      <c r="CD68" t="e">
        <f t="shared" ca="1" si="8"/>
        <v>#NAME?</v>
      </c>
      <c r="CE68" t="e">
        <f t="shared" ca="1" si="9"/>
        <v>#NAME?</v>
      </c>
      <c r="CF68" t="e">
        <f ca="1">CE68*[1]Sheet10!$AL$629*LN([1]Sheet11!$H$52*12/([1]Sheet11!$G$36/2))/(0.00708*[1]Sheet11!$H$47*[1]Sheet11!$H$53)</f>
        <v>#NAME?</v>
      </c>
      <c r="CH68" s="17">
        <v>0</v>
      </c>
      <c r="CI68" s="17">
        <v>0</v>
      </c>
      <c r="CK68">
        <f>SQRT(((2*[1]Sheet11!$G$36/2*AV69)/[1]Sheet11!$H$48*((1-([1]Sheet10!$AL$625*[1]Sheet10!$AL$627))*[1]Sheet10!$AL$631/([1]Sheet10!$AL$628*[1]Sheet10!$AL$627))*60*39.37))</f>
        <v>31.35813597682095</v>
      </c>
      <c r="CM68" s="430">
        <v>0</v>
      </c>
      <c r="CN68" s="431">
        <v>4599786</v>
      </c>
      <c r="CO68" s="432">
        <v>0</v>
      </c>
      <c r="CP68" s="433">
        <v>0</v>
      </c>
      <c r="CR68" t="e">
        <f>((([1]Sheet11!$H$47/CH68)-0.8)*LN(CK68/([1]Sheet11!$G$36/2)))</f>
        <v>#DIV/0!</v>
      </c>
    </row>
    <row r="69" spans="1:96" ht="15" x14ac:dyDescent="0.25">
      <c r="A69" s="407"/>
      <c r="B69" s="54"/>
      <c r="C69" s="558" t="s">
        <v>34</v>
      </c>
      <c r="D69" s="559" t="s">
        <v>14</v>
      </c>
      <c r="E69" s="559"/>
      <c r="F69" s="407"/>
      <c r="G69" s="407"/>
      <c r="H69" s="54">
        <v>8.0559355525155798</v>
      </c>
      <c r="I69" s="560" t="s">
        <v>252</v>
      </c>
      <c r="J69" s="560">
        <v>1.95</v>
      </c>
      <c r="K69" s="407"/>
      <c r="L69" s="54"/>
      <c r="M69" s="54"/>
      <c r="N69" s="54"/>
      <c r="O69" s="54"/>
      <c r="P69" s="54"/>
      <c r="Q69" s="54"/>
      <c r="R69" s="54"/>
      <c r="S69" s="54"/>
      <c r="T69" s="561"/>
      <c r="U69" s="407"/>
      <c r="V69" s="54"/>
      <c r="W69" s="54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>
        <v>42.128301888616399</v>
      </c>
      <c r="AL69" s="9">
        <v>271.40987411967899</v>
      </c>
      <c r="AM69" s="17"/>
      <c r="AN69" s="400">
        <v>302.72378396526</v>
      </c>
      <c r="AO69" s="17">
        <v>10.8143920430355</v>
      </c>
      <c r="AP69" s="17"/>
      <c r="AQ69" s="400">
        <v>203.95942495962501</v>
      </c>
      <c r="AR69" s="17">
        <v>2.6627889364936799</v>
      </c>
      <c r="AS69" s="17"/>
      <c r="AT69" s="17">
        <v>0</v>
      </c>
      <c r="AU69" s="101">
        <v>17.891651320117401</v>
      </c>
      <c r="AV69" s="17">
        <v>3420</v>
      </c>
      <c r="AW69" s="102">
        <v>0</v>
      </c>
      <c r="AX69" s="1" t="e">
        <f>IF([1]Sheet11!$H$47&gt;=400,AT69,IF($J$137&lt;=200,((($H$119-($H$120*$H$121))/(($H$119-($H$120*$H$121*EXP(-$H$121*AW69)))))*(($J$136/($J$136+100))*$J$136))*7.5*(400/[1]Sheet11!$H$47),IF($J$137&lt;=250,((($H$119-($H$120*$H$121))/(($H$119-($H$120*$H$121*EXP(-$H$121*AW69)))))*(($J$136/($J$136+100))))*$J$136*7*(400/[1]Sheet11!$H$47),IF($J$137&lt;300,((($H$119-($H$120*$H$121))/(($H$119-($H$120*$H$121*EXP(-$H$121*AW69)))))*(($J$136/($J$136+100))))*$J$136*8*(400/[1]Sheet11!$H$47),IF(AND([1]Sheet11!$H$47&lt;=50,$J$137&gt;=300),((($H$119-($H$120*$H$121))/(($H$119-($H$120*$H$121*EXP(-$H$121*AW69)))))*(($J$136/($J$136+100))*$J$136))*(400/[1]Sheet11!$H$47),IF(AND([1]Sheet11!$H$47&gt;50,[1]Sheet11!$H$47&lt;=200,$J$137&gt;=300),((($H$119-($H$120*$H$121))/(($H$119-($H$120*$H$121*EXP(-$H$121*AW69)))))*(($J$136/($J$136+100))*$J$136))*3.5*(400/[1]Sheet11!$H$47))))))+2)</f>
        <v>#VALUE!</v>
      </c>
      <c r="AY69" s="1" t="e">
        <f t="shared" si="10"/>
        <v>#VALUE!</v>
      </c>
      <c r="AZ69" t="e">
        <f>IF([1]Sheet11!$H$47=400,((((AW69/AV69)/$G$129)*$G$129*60*[1]Sheet10!$AL$629*[1]Sheet11!$H$54/(($G$129*(AX69/14.7))))*1000),((((AW69/AV69)/$G$129)*$G$129*60*[1]Sheet10!$AL$629*[1]Sheet11!$H$54/(($G$129*(AX69*(400/[1]Sheet11!$H$47)/14.7))))*1000))</f>
        <v>#VALUE!</v>
      </c>
      <c r="BA69" t="e">
        <f>AZ69/[1]Sheet11!$H$47</f>
        <v>#VALUE!</v>
      </c>
      <c r="BB69" t="e">
        <f>IF($E$224&lt;=1,ABS(1/(([1]Sheet11!$H$54/AZ69)-(([1]Sheet11!$H$54)/[1]Sheet11!$H$47))),($E$224/(([1]Sheet11!$H$54/AZ69)-(([1]Sheet11!$H$54-BD69)/[1]Sheet11!$H$47))))</f>
        <v>#VALUE!</v>
      </c>
      <c r="BC69" t="e">
        <f>(BB69/[1]Sheet11!$H$47)</f>
        <v>#VALUE!</v>
      </c>
      <c r="BD69" t="e">
        <f>IF([1]Sheet11!$H$47=400,((AX69*4389120*($D$146^(1+$J$80))/($J$81*($D$150^$J$80)))*(1.26/(3+1/$J$80))^$J$80*AW69/$AW$70),((AX69*(400/[1]Sheet11!$H$47)*4389120*($D$146^(1+$J$80)))/($J$81*($D$150^$J$80)))*(1.36/(3+1/$J$80))^$J$80*AW69/$AW$70)</f>
        <v>#VALUE!</v>
      </c>
      <c r="BE69" t="e">
        <f>IF([1]Sheet11!$H$47=400,((AX69/14.7)*([1]Sheet11!$H$47/1000)*$G$129)/((AW69/'Oil-Based Mud 1'!AV69*60)*[1]Sheet10!$AL$629*([1]Sheet11!$H$54)),((AX69*(400/[1]Sheet11!$H$47)/14.7)*([1]Sheet11!$H$47/1000)*$G$129)/((AW69/'Oil-Based Mud 1'!AV69*60)*[1]Sheet10!$AL$629*([1]Sheet11!$H$54)))+1.7</f>
        <v>#VALUE!</v>
      </c>
      <c r="BF69" t="e">
        <f t="shared" si="6"/>
        <v>#DIV/0!</v>
      </c>
      <c r="BH69">
        <v>0.34323260397855798</v>
      </c>
      <c r="BJ69">
        <f>IF(AV69=0,"0",SQRT(((2*[1]Sheet11!$G$36/2*AV69)/[1]Sheet11!$H$48*((1-([1]Sheet10!$AL$625*[1]Sheet10!$AL$627))*[1]Sheet10!$AL$631/([1]Sheet10!$AL$628*[1]Sheet10!$AL$627))*60*39.37+([1]Sheet11!$G$36/2)^2)))</f>
        <v>31.501312543143221</v>
      </c>
      <c r="BM69" s="429">
        <f>((([1]Sheet11!$H$47/BU69)-1)*LN(BP69/([1]Sheet11!$G$36/2)))</f>
        <v>2.6888429315660631</v>
      </c>
      <c r="BO69" s="17">
        <v>470</v>
      </c>
      <c r="BP69">
        <f>SQRT(((2*[1]Sheet11!$G$36/2*BO69)/[1]Sheet11!$H$48*((1-([1]Sheet10!$AL$625*[1]Sheet10!$AL$627))*[1]Sheet10!$AL$631/([1]Sheet10!$AL$628*[1]Sheet10!$AL$627))*60*39.37))</f>
        <v>11.624816733915699</v>
      </c>
      <c r="BQ69" s="428" t="e">
        <f t="shared" si="11"/>
        <v>#REF!</v>
      </c>
      <c r="BS69">
        <v>38.806846901569401</v>
      </c>
      <c r="BU69">
        <v>67</v>
      </c>
      <c r="BW69">
        <f>SQRT(((2*[1]Sheet11!$G$36/2*BO69)/[1]Sheet11!$H$48*((1-([1]Sheet10!$AM$625*[1]Sheet10!$AM$627))*[1]Sheet10!$AM$631/([1]Sheet10!$AM$628*[1]Sheet10!$AM$627))*60*39.37))</f>
        <v>22.189576905035313</v>
      </c>
      <c r="BX69">
        <f>SQRT(((2*[1]Sheet11!$G$36/2*BO69)/[1]Sheet11!$H$48*((1-([1]Sheet10!$AN$625*[1]Sheet10!$AN$627))*[1]Sheet10!$AN$631/([1]Sheet10!$AN$628*[1]Sheet10!$AN$627))*60*39.37))</f>
        <v>16.102100087173401</v>
      </c>
      <c r="BZ69" t="e">
        <f t="shared" ca="1" si="7"/>
        <v>#NAME?</v>
      </c>
      <c r="CA69" t="e">
        <f ca="1">(CE69*[1]Sheet10!$AL$629/(7.08*[1]Sheet11!$H$53*(CF69)))*1000*LN(([1]Sheet11!$H$52*12)/(BP69))</f>
        <v>#NAME?</v>
      </c>
      <c r="CB69" t="e">
        <f ca="1">LN(BP69/([1]Sheet11!$G$36/2))/((LN(([1]Sheet11!$H$52*12)/([1]Sheet11!$G$36/2))/CA69)-LN(([1]Sheet11!$H$52*12)/BP69)/[1]Sheet11!$H$47)</f>
        <v>#NAME?</v>
      </c>
      <c r="CC69" t="e">
        <f ca="1">((([1]Sheet11!$H$47/CB69)-1)*LN(BP69/([1]Sheet11!$G$36/2)))</f>
        <v>#NAME?</v>
      </c>
      <c r="CD69" t="e">
        <f t="shared" ca="1" si="8"/>
        <v>#NAME?</v>
      </c>
      <c r="CE69" t="e">
        <f t="shared" ca="1" si="9"/>
        <v>#NAME?</v>
      </c>
      <c r="CF69" t="e">
        <f ca="1">CE69*[1]Sheet10!$AL$629*LN([1]Sheet11!$H$52*12/([1]Sheet11!$G$36/2))/(0.00708*[1]Sheet11!$H$47*[1]Sheet11!$H$53)</f>
        <v>#NAME?</v>
      </c>
      <c r="CH69" s="17">
        <v>0</v>
      </c>
      <c r="CI69" s="17">
        <v>0</v>
      </c>
      <c r="CK69">
        <f>SQRT(((2*[1]Sheet11!$G$36/2*AV70)/[1]Sheet11!$H$48*((1-([1]Sheet10!$AL$625*[1]Sheet10!$AL$627))*[1]Sheet10!$AL$631/([1]Sheet10!$AL$628*[1]Sheet10!$AL$627))*60*39.37))</f>
        <v>31.35813597682095</v>
      </c>
      <c r="CM69" s="430">
        <v>0</v>
      </c>
      <c r="CN69" s="431">
        <v>4599786</v>
      </c>
      <c r="CO69" s="432">
        <v>0</v>
      </c>
      <c r="CP69" s="433">
        <v>0</v>
      </c>
      <c r="CR69" t="e">
        <f>((([1]Sheet11!$H$47/CH69)-0.8)*LN(CK69/([1]Sheet11!$G$36/2)))</f>
        <v>#DIV/0!</v>
      </c>
    </row>
    <row r="70" spans="1:96" ht="15" x14ac:dyDescent="0.25">
      <c r="A70" s="407" t="s">
        <v>21</v>
      </c>
      <c r="B70" s="407"/>
      <c r="C70" s="407">
        <v>7581.6</v>
      </c>
      <c r="D70" s="407" t="s">
        <v>253</v>
      </c>
      <c r="E70" s="407"/>
      <c r="F70" s="407"/>
      <c r="G70" s="407"/>
      <c r="H70" s="54">
        <v>8.0559355525155798</v>
      </c>
      <c r="I70" s="560" t="s">
        <v>254</v>
      </c>
      <c r="J70" s="560">
        <v>-3.8E-3</v>
      </c>
      <c r="K70" s="407"/>
      <c r="L70" s="54"/>
      <c r="M70" s="54"/>
      <c r="N70" s="54"/>
      <c r="O70" s="54"/>
      <c r="P70" s="54"/>
      <c r="Q70" s="54"/>
      <c r="R70" s="54"/>
      <c r="S70" s="54"/>
      <c r="T70" s="561"/>
      <c r="U70" s="407"/>
      <c r="V70" s="54"/>
      <c r="W70" s="54"/>
      <c r="Z70" s="17"/>
      <c r="AA70" s="17"/>
      <c r="AB70" s="17"/>
      <c r="AC70" s="17"/>
      <c r="AD70" s="17"/>
      <c r="AE70" s="17" t="s">
        <v>255</v>
      </c>
      <c r="AF70" s="17"/>
      <c r="AG70" s="17"/>
      <c r="AH70" s="17"/>
      <c r="AI70" s="17"/>
      <c r="AJ70" s="17"/>
      <c r="AK70" s="17">
        <v>40.731230205476301</v>
      </c>
      <c r="AL70" s="9">
        <v>272.80694580281897</v>
      </c>
      <c r="AM70" s="17"/>
      <c r="AN70" s="17"/>
      <c r="AO70" s="17"/>
      <c r="AP70" s="17"/>
      <c r="AQ70" s="400">
        <v>202.823707030462</v>
      </c>
      <c r="AR70" s="17">
        <v>3.7985068656563099</v>
      </c>
      <c r="AS70" s="17"/>
      <c r="AT70" s="17">
        <v>0</v>
      </c>
      <c r="AU70" s="101">
        <v>12.437916315226801</v>
      </c>
      <c r="AV70" s="9">
        <v>3420</v>
      </c>
      <c r="AW70" s="102">
        <v>0</v>
      </c>
      <c r="AX70" s="1" t="e">
        <f>IF([1]Sheet11!$H$47&gt;=400,AT70,IF($J$137&lt;=200,((($H$119-($H$120*$H$121))/(($H$119-($H$120*$H$121*EXP(-$H$121*AW70)))))*(($J$136/($J$136+100))*$J$136))*7.5*(400/[1]Sheet11!$H$47),IF($J$137&lt;=250,((($H$119-($H$120*$H$121))/(($H$119-($H$120*$H$121*EXP(-$H$121*AW70)))))*(($J$136/($J$136+100))))*$J$136*7*(400/[1]Sheet11!$H$47),IF($J$137&lt;300,((($H$119-($H$120*$H$121))/(($H$119-($H$120*$H$121*EXP(-$H$121*AW70)))))*(($J$136/($J$136+100))))*$J$136*8*(400/[1]Sheet11!$H$47),IF(AND([1]Sheet11!$H$47&lt;=50,$J$137&gt;=300),((($H$119-($H$120*$H$121))/(($H$119-($H$120*$H$121*EXP(-$H$121*AW70)))))*(($J$136/($J$136+100))*$J$136))*(400/[1]Sheet11!$H$47),IF(AND([1]Sheet11!$H$47&gt;50,[1]Sheet11!$H$47&lt;=200,$J$137&gt;=300),((($H$119-($H$120*$H$121))/(($H$119-($H$120*$H$121*EXP(-$H$121*AW70)))))*(($J$136/($J$136+100))*$J$136))*3.5*(400/[1]Sheet11!$H$47))))))+2)</f>
        <v>#VALUE!</v>
      </c>
      <c r="AY70" s="1" t="e">
        <f t="shared" si="10"/>
        <v>#VALUE!</v>
      </c>
      <c r="AZ70" t="e">
        <f>IF([1]Sheet11!$H$47=400,((((AW70/AV70)/$G$129)*$G$129*60*[1]Sheet10!$AL$629*[1]Sheet11!$H$54/(($G$129*(AX70/14.7))))*1000),((((AW70/AV70)/$G$129)*$G$129*60*[1]Sheet10!$AL$629*[1]Sheet11!$H$54/(($G$129*(AX70*(400/[1]Sheet11!$H$47)/14.7))))*1000))</f>
        <v>#VALUE!</v>
      </c>
      <c r="BA70" t="e">
        <f>AZ70/[1]Sheet11!$H$47</f>
        <v>#VALUE!</v>
      </c>
      <c r="BB70" t="e">
        <f>IF($E$224&lt;=1,ABS(1/(([1]Sheet11!$H$54/AZ70)-(([1]Sheet11!$H$54)/[1]Sheet11!$H$47))),($E$224/(([1]Sheet11!$H$54/AZ70)-(([1]Sheet11!$H$54-BD70)/[1]Sheet11!$H$47))))</f>
        <v>#VALUE!</v>
      </c>
      <c r="BC70" t="e">
        <f>(BB70/[1]Sheet11!$H$47)</f>
        <v>#VALUE!</v>
      </c>
      <c r="BD70" t="e">
        <f>IF([1]Sheet11!$H$47=400,((AX70*4389120*($D$146^(1+$J$80))/($J$81*($D$150^$J$80)))*(1.26/(3+1/$J$80))^$J$80*AW70/$AW$70),((AX70*(400/[1]Sheet11!$H$47)*4389120*($D$146^(1+$J$80)))/($J$81*($D$150^$J$80)))*(1.36/(3+1/$J$80))^$J$80*AW70/$AW$70)</f>
        <v>#VALUE!</v>
      </c>
      <c r="BE70" t="e">
        <f>IF([1]Sheet11!$H$47=400,((AX70/14.7)*([1]Sheet11!$H$47/1000)*$G$129)/((AW70/'Oil-Based Mud 1'!AV70*60)*[1]Sheet10!$AL$629*([1]Sheet11!$H$54)),((AX70*(400/[1]Sheet11!$H$47)/14.7)*([1]Sheet11!$H$47/1000)*$G$129)/((AW70/'Oil-Based Mud 1'!AV70*60)*[1]Sheet10!$AL$629*([1]Sheet11!$H$54)))+1.7</f>
        <v>#VALUE!</v>
      </c>
      <c r="BF70" t="e">
        <f t="shared" si="6"/>
        <v>#DIV/0!</v>
      </c>
      <c r="BH70">
        <v>0.30435947197144497</v>
      </c>
      <c r="BJ70">
        <f>IF(AV70=0,"0",SQRT(((2*[1]Sheet11!$G$36/2*AV70)/[1]Sheet11!$H$48*((1-([1]Sheet10!$AL$625*[1]Sheet10!$AL$627))*[1]Sheet10!$AL$631/([1]Sheet10!$AL$628*[1]Sheet10!$AL$627))*60*39.37+([1]Sheet11!$G$36/2)^2)))</f>
        <v>31.501312543143221</v>
      </c>
      <c r="BM70" s="429">
        <f>((([1]Sheet11!$H$47/BU70)-1)*LN(BP70/([1]Sheet11!$G$36/2)))</f>
        <v>2.5772043360753933</v>
      </c>
      <c r="BO70" s="17">
        <v>420</v>
      </c>
      <c r="BP70">
        <f>SQRT(((2*[1]Sheet11!$G$36/2*BO70)/[1]Sheet11!$H$48*((1-([1]Sheet10!$AL$625*[1]Sheet10!$AL$627))*[1]Sheet10!$AL$631/([1]Sheet10!$AL$628*[1]Sheet10!$AL$627))*60*39.37))</f>
        <v>10.989092553556169</v>
      </c>
      <c r="BQ70" s="428" t="e">
        <f t="shared" si="11"/>
        <v>#REF!</v>
      </c>
      <c r="BS70">
        <v>42</v>
      </c>
      <c r="BU70">
        <v>67</v>
      </c>
      <c r="BW70">
        <f>SQRT(((2*[1]Sheet11!$G$36/2*BO70)/[1]Sheet11!$H$48*((1-([1]Sheet10!$AM$625*[1]Sheet10!$AM$627))*[1]Sheet10!$AM$631/([1]Sheet10!$AM$628*[1]Sheet10!$AM$627))*60*39.37))</f>
        <v>20.976099659469593</v>
      </c>
      <c r="BX70">
        <f>SQRT(((2*[1]Sheet11!$G$36/2*BO70)/[1]Sheet11!$H$48*((1-([1]Sheet10!$AN$625*[1]Sheet10!$AN$627))*[1]Sheet10!$AN$631/([1]Sheet10!$AN$628*[1]Sheet10!$AN$627))*60*39.37))</f>
        <v>15.221527548759079</v>
      </c>
      <c r="BZ70" t="e">
        <f t="shared" ca="1" si="7"/>
        <v>#NAME?</v>
      </c>
      <c r="CA70" t="e">
        <f ca="1">(CE70*[1]Sheet10!$AL$629/(7.08*[1]Sheet11!$H$53*(CF70)))*1000*LN(([1]Sheet11!$H$52*12)/(BP70))</f>
        <v>#NAME?</v>
      </c>
      <c r="CB70" t="e">
        <f ca="1">LN(BP70/([1]Sheet11!$G$36/2))/((LN(([1]Sheet11!$H$52*12)/([1]Sheet11!$G$36/2))/CA70)-LN(([1]Sheet11!$H$52*12)/BP70)/[1]Sheet11!$H$47)</f>
        <v>#NAME?</v>
      </c>
      <c r="CC70" t="e">
        <f ca="1">((([1]Sheet11!$H$47/CB70)-1)*LN(BP70/([1]Sheet11!$G$36/2)))</f>
        <v>#NAME?</v>
      </c>
      <c r="CD70" t="e">
        <f t="shared" ca="1" si="8"/>
        <v>#NAME?</v>
      </c>
      <c r="CE70" t="e">
        <f t="shared" ca="1" si="9"/>
        <v>#NAME?</v>
      </c>
      <c r="CF70" t="e">
        <f ca="1">CE70*[1]Sheet10!$AL$629*LN([1]Sheet11!$H$52*12/([1]Sheet11!$G$36/2))/(0.00708*[1]Sheet11!$H$47*[1]Sheet11!$H$53)</f>
        <v>#NAME?</v>
      </c>
      <c r="CH70" s="17">
        <v>0</v>
      </c>
      <c r="CI70" s="17">
        <v>0</v>
      </c>
      <c r="CK70">
        <f>SQRT(((2*[1]Sheet11!$G$36/2*AV71)/[1]Sheet11!$H$48*((1-([1]Sheet10!$AL$625*[1]Sheet10!$AL$627))*[1]Sheet10!$AL$631/([1]Sheet10!$AL$628*[1]Sheet10!$AL$627))*60*39.37))</f>
        <v>31.35813597682095</v>
      </c>
      <c r="CM70" s="562">
        <v>0</v>
      </c>
      <c r="CN70" s="431">
        <v>4599786</v>
      </c>
      <c r="CO70" s="432">
        <v>0</v>
      </c>
      <c r="CP70" s="433">
        <v>0</v>
      </c>
      <c r="CR70" t="e">
        <f>((([1]Sheet11!$H$47/CH70)-0.8)*LN(CK70/([1]Sheet11!$G$36/2)))</f>
        <v>#DIV/0!</v>
      </c>
    </row>
    <row r="71" spans="1:96" ht="15" x14ac:dyDescent="0.25">
      <c r="A71" s="407" t="s">
        <v>256</v>
      </c>
      <c r="B71" s="407"/>
      <c r="C71" s="407">
        <v>9.8410576351752805</v>
      </c>
      <c r="D71" s="407" t="s">
        <v>257</v>
      </c>
      <c r="E71" s="407">
        <v>21.383038812232702</v>
      </c>
      <c r="F71" s="407" t="s">
        <v>258</v>
      </c>
      <c r="G71" s="54"/>
      <c r="H71" s="54">
        <v>8.0559355525155798</v>
      </c>
      <c r="I71" s="560" t="s">
        <v>217</v>
      </c>
      <c r="J71" s="560">
        <v>5.1999999999999997E-5</v>
      </c>
      <c r="K71" s="407"/>
      <c r="L71" s="54"/>
      <c r="M71" s="54"/>
      <c r="N71" s="54"/>
      <c r="O71" s="54"/>
      <c r="P71" s="54"/>
      <c r="Q71" s="54"/>
      <c r="R71" s="54"/>
      <c r="S71" s="54"/>
      <c r="T71" s="561"/>
      <c r="U71" s="54"/>
      <c r="V71" s="54"/>
      <c r="W71" s="54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>
        <v>1680</v>
      </c>
      <c r="AV71" s="17">
        <v>3420</v>
      </c>
      <c r="AW71" s="102">
        <v>0</v>
      </c>
      <c r="AX71" t="e">
        <f>AX70</f>
        <v>#VALUE!</v>
      </c>
      <c r="AY71" s="1" t="e">
        <f>AY70</f>
        <v>#VALUE!</v>
      </c>
      <c r="AZ71" s="428" t="e">
        <f>AZ70</f>
        <v>#VALUE!</v>
      </c>
      <c r="BB71" t="e">
        <f>BB70</f>
        <v>#VALUE!</v>
      </c>
      <c r="BD71" s="1"/>
      <c r="BE71" t="e">
        <f>BE70</f>
        <v>#VALUE!</v>
      </c>
      <c r="BF71" t="e">
        <f>BF70</f>
        <v>#DIV/0!</v>
      </c>
      <c r="BM71" s="429">
        <f>((([1]Sheet11!$H$47/BU71)-1)*LN(BP71/([1]Sheet11!$G$36/2)))</f>
        <v>2.4513985386872874</v>
      </c>
      <c r="BO71" s="17">
        <v>370</v>
      </c>
      <c r="BP71">
        <f>SQRT(((2*[1]Sheet11!$G$36/2*BO71)/[1]Sheet11!$H$48*((1-([1]Sheet10!$AL$625*[1]Sheet10!$AL$627))*[1]Sheet10!$AL$631/([1]Sheet10!$AL$628*[1]Sheet10!$AL$627))*60*39.37))</f>
        <v>10.314259362849125</v>
      </c>
      <c r="BQ71" s="428" t="e">
        <f t="shared" si="11"/>
        <v>#REF!</v>
      </c>
      <c r="BS71">
        <v>44</v>
      </c>
      <c r="BU71">
        <v>67</v>
      </c>
      <c r="BW71">
        <f>SQRT(((2*[1]Sheet11!$G$36/2*BO71)/[1]Sheet11!$H$48*((1-([1]Sheet10!$AM$625*[1]Sheet10!$AM$627))*[1]Sheet10!$AM$631/([1]Sheet10!$AM$628*[1]Sheet10!$AM$627))*60*39.37))</f>
        <v>19.68797070862114</v>
      </c>
      <c r="BX71">
        <f>SQRT(((2*[1]Sheet11!$G$36/2*BO71)/[1]Sheet11!$H$48*((1-([1]Sheet10!$AN$625*[1]Sheet10!$AN$627))*[1]Sheet10!$AN$631/([1]Sheet10!$AN$628*[1]Sheet10!$AN$627))*60*39.37))</f>
        <v>14.286783214492811</v>
      </c>
      <c r="BZ71" t="e">
        <f t="shared" ca="1" si="7"/>
        <v>#NAME?</v>
      </c>
      <c r="CA71" t="e">
        <f ca="1">(CE71*[1]Sheet10!$AL$629/(7.08*[1]Sheet11!$H$53*(CF71)))*1000*LN(([1]Sheet11!$H$52*12)/(BP71))</f>
        <v>#NAME?</v>
      </c>
      <c r="CB71" t="e">
        <f ca="1">LN(BP71/([1]Sheet11!$G$36/2))/((LN(([1]Sheet11!$H$52*12)/([1]Sheet11!$G$36/2))/CA71)-LN(([1]Sheet11!$H$52*12)/BP71)/[1]Sheet11!$H$47)</f>
        <v>#NAME?</v>
      </c>
      <c r="CC71" t="e">
        <f ca="1">((([1]Sheet11!$H$47/CB71)-1)*LN(BP71/([1]Sheet11!$G$36/2)))</f>
        <v>#NAME?</v>
      </c>
      <c r="CD71" t="e">
        <f t="shared" ca="1" si="8"/>
        <v>#NAME?</v>
      </c>
      <c r="CE71" t="e">
        <f t="shared" ca="1" si="9"/>
        <v>#NAME?</v>
      </c>
      <c r="CF71" t="e">
        <f ca="1">CE71*[1]Sheet10!$AL$629*LN([1]Sheet11!$H$52*12/([1]Sheet11!$G$36/2))/(0.00708*[1]Sheet11!$H$47*[1]Sheet11!$H$53)</f>
        <v>#NAME?</v>
      </c>
      <c r="CK71">
        <f>SQRT(((2*[1]Sheet11!$G$36/2*AV72)/[1]Sheet11!$H$48*((1-([1]Sheet10!$AL$625*[1]Sheet10!$AL$627))*[1]Sheet10!$AL$631/([1]Sheet10!$AL$628*[1]Sheet10!$AL$627))*60*39.37))</f>
        <v>0</v>
      </c>
      <c r="CM71" s="562"/>
      <c r="CN71" s="17"/>
      <c r="CO71" s="562"/>
      <c r="CP71" s="562"/>
    </row>
    <row r="72" spans="1:96" x14ac:dyDescent="0.2">
      <c r="A72" s="407" t="s">
        <v>259</v>
      </c>
      <c r="B72" s="407"/>
      <c r="C72" s="407">
        <v>1659.92733428771</v>
      </c>
      <c r="D72" s="407" t="s">
        <v>260</v>
      </c>
      <c r="E72" s="407">
        <v>5.9232794493719396</v>
      </c>
      <c r="F72" s="407" t="s">
        <v>261</v>
      </c>
      <c r="G72" s="54"/>
      <c r="H72" s="54"/>
      <c r="I72" s="407"/>
      <c r="J72" s="407"/>
      <c r="K72" s="407"/>
      <c r="L72" s="54"/>
      <c r="M72" s="54"/>
      <c r="N72" s="54"/>
      <c r="O72" s="54"/>
      <c r="P72" s="54"/>
      <c r="Q72" s="54"/>
      <c r="R72" s="54"/>
      <c r="S72" s="54"/>
      <c r="T72" s="561"/>
      <c r="U72" s="54"/>
      <c r="V72" s="54"/>
      <c r="W72" s="54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>
        <v>1680</v>
      </c>
      <c r="AU72" s="17"/>
      <c r="AV72" s="17"/>
      <c r="AW72" s="17"/>
      <c r="BO72" s="17">
        <v>320</v>
      </c>
      <c r="BP72">
        <f>SQRT(((2*[1]Sheet11!$G$36/2*BO72)/[1]Sheet11!$H$48*((1-([1]Sheet10!$AL$625*[1]Sheet10!$AL$627))*[1]Sheet10!$AL$631/([1]Sheet10!$AL$628*[1]Sheet10!$AL$627))*60*39.37))</f>
        <v>9.5920663705803264</v>
      </c>
      <c r="BQ72" s="428" t="e">
        <f t="shared" ref="BQ72:BQ78" si="12">BQ71-4</f>
        <v>#REF!</v>
      </c>
      <c r="BW72">
        <f>SQRT(((2*[1]Sheet11!$G$36/2*BO72)/[1]Sheet11!$H$48*((1-([1]Sheet10!$AM$625*[1]Sheet10!$AM$627))*[1]Sheet10!$AM$631/([1]Sheet10!$AM$628*[1]Sheet10!$AM$627))*60*39.37))</f>
        <v>18.30944085227749</v>
      </c>
      <c r="BX72">
        <f>SQRT(((2*[1]Sheet11!$G$36/2*BO72)/[1]Sheet11!$H$48*((1-([1]Sheet10!$AN$625*[1]Sheet10!$AN$627))*[1]Sheet10!$AN$631/([1]Sheet10!$AN$628*[1]Sheet10!$AN$627))*60*39.37))</f>
        <v>13.286438511436971</v>
      </c>
      <c r="BZ72" t="e">
        <f t="shared" ca="1" si="7"/>
        <v>#NAME?</v>
      </c>
      <c r="CA72" t="e">
        <f ca="1">(CE72*[1]Sheet10!$AL$629/(7.08*[1]Sheet11!$H$53*(CF72)))*1000*LN(([1]Sheet11!$H$52*12)/(BP72))</f>
        <v>#NAME?</v>
      </c>
      <c r="CB72" t="e">
        <f ca="1">LN(BP72/([1]Sheet11!$G$36/2))/((LN(([1]Sheet11!$H$52*12)/([1]Sheet11!$G$36/2))/CA72)-LN(([1]Sheet11!$H$52*12)/BP72)/[1]Sheet11!$H$47)</f>
        <v>#NAME?</v>
      </c>
      <c r="CC72" t="e">
        <f ca="1">((([1]Sheet11!$H$47/CB72)-1)*LN(BP72/([1]Sheet11!$G$36/2)))</f>
        <v>#NAME?</v>
      </c>
      <c r="CD72" t="e">
        <f t="shared" ca="1" si="8"/>
        <v>#NAME?</v>
      </c>
      <c r="CE72" t="e">
        <f t="shared" ca="1" si="9"/>
        <v>#NAME?</v>
      </c>
      <c r="CF72" t="e">
        <f ca="1">CE72*[1]Sheet10!$AL$629*LN([1]Sheet11!$H$52*12/([1]Sheet11!$G$36/2))/(0.00708*[1]Sheet11!$H$47*[1]Sheet11!$H$53)</f>
        <v>#NAME?</v>
      </c>
      <c r="CK72">
        <f>SQRT(((2*[1]Sheet11!$G$36/2*AV73)/[1]Sheet11!$H$48*((1-([1]Sheet10!$AL$625*[1]Sheet10!$AL$627))*[1]Sheet10!$AL$631/([1]Sheet10!$AL$628*[1]Sheet10!$AL$627))*60*39.37))</f>
        <v>0</v>
      </c>
      <c r="CM72" s="562"/>
      <c r="CN72" s="17"/>
      <c r="CO72" s="562"/>
      <c r="CP72" s="562"/>
    </row>
    <row r="73" spans="1:96" x14ac:dyDescent="0.2">
      <c r="A73" s="407" t="s">
        <v>262</v>
      </c>
      <c r="B73" s="407"/>
      <c r="C73" s="407">
        <v>412.33863717974998</v>
      </c>
      <c r="D73" s="407"/>
      <c r="E73" s="54"/>
      <c r="F73" s="54"/>
      <c r="G73" s="407"/>
      <c r="H73" s="54">
        <v>4.5579635362917097</v>
      </c>
      <c r="I73" s="407"/>
      <c r="J73" s="407"/>
      <c r="K73" s="407"/>
      <c r="L73" s="563" t="s">
        <v>248</v>
      </c>
      <c r="M73" s="564" t="s">
        <v>263</v>
      </c>
      <c r="N73" s="565" t="s">
        <v>264</v>
      </c>
      <c r="P73" s="54"/>
      <c r="Q73" s="54"/>
      <c r="R73" s="54"/>
      <c r="S73" s="54"/>
      <c r="T73" s="561"/>
      <c r="U73" s="54"/>
      <c r="V73" s="54"/>
      <c r="W73" s="54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BO73" s="17">
        <v>270</v>
      </c>
      <c r="BP73">
        <f>SQRT(((2*[1]Sheet11!$G$36/2*BO73)/[1]Sheet11!$H$48*((1-([1]Sheet10!$AL$625*[1]Sheet10!$AL$627))*[1]Sheet10!$AL$631/([1]Sheet10!$AL$628*[1]Sheet10!$AL$627))*60*39.37))</f>
        <v>8.8108755700619898</v>
      </c>
      <c r="BQ73" s="428" t="e">
        <f t="shared" si="12"/>
        <v>#REF!</v>
      </c>
      <c r="BW73">
        <f>SQRT(((2*[1]Sheet11!$G$36/2*BO73)/[1]Sheet11!$H$48*((1-([1]Sheet10!$AM$625*[1]Sheet10!$AM$627))*[1]Sheet10!$AM$631/([1]Sheet10!$AM$628*[1]Sheet10!$AM$627))*60*39.37))</f>
        <v>16.818295336405878</v>
      </c>
      <c r="BX73">
        <f>SQRT(((2*[1]Sheet11!$G$36/2*BO73)/[1]Sheet11!$H$48*((1-([1]Sheet10!$AN$625*[1]Sheet10!$AN$627))*[1]Sheet10!$AN$631/([1]Sheet10!$AN$628*[1]Sheet10!$AN$627))*60*39.37))</f>
        <v>12.204373069456597</v>
      </c>
      <c r="BZ73" t="e">
        <f t="shared" ca="1" si="7"/>
        <v>#NAME?</v>
      </c>
      <c r="CA73" t="e">
        <f ca="1">(CE73*[1]Sheet10!$AL$629/(7.08*[1]Sheet11!$H$53*(CF73)))*1000*LN(([1]Sheet11!$H$52*12)/(BP73))</f>
        <v>#NAME?</v>
      </c>
      <c r="CB73" t="e">
        <f ca="1">LN(BP73/([1]Sheet11!$G$36/2))/((LN(([1]Sheet11!$H$52*12)/([1]Sheet11!$G$36/2))/CA73)-LN(([1]Sheet11!$H$52*12)/BP73)/[1]Sheet11!$H$47)</f>
        <v>#NAME?</v>
      </c>
      <c r="CC73" t="e">
        <f ca="1">((([1]Sheet11!$H$47/CB73)-1)*LN(BP73/([1]Sheet11!$G$36/2)))</f>
        <v>#NAME?</v>
      </c>
      <c r="CD73" t="e">
        <f t="shared" ca="1" si="8"/>
        <v>#NAME?</v>
      </c>
      <c r="CE73" t="e">
        <f t="shared" ca="1" si="9"/>
        <v>#NAME?</v>
      </c>
      <c r="CF73" t="e">
        <f ca="1">CE73*[1]Sheet10!$AL$629*LN([1]Sheet11!$H$52*12/([1]Sheet11!$G$36/2))/(0.00708*[1]Sheet11!$H$47*[1]Sheet11!$H$53)</f>
        <v>#NAME?</v>
      </c>
      <c r="CK73">
        <f>SQRT(((2*[1]Sheet11!$G$36/2*AV74)/[1]Sheet11!$H$48*((1-([1]Sheet10!$AL$625*[1]Sheet10!$AL$627))*[1]Sheet10!$AL$631/([1]Sheet10!$AL$628*[1]Sheet10!$AL$627))*60*39.37))</f>
        <v>0</v>
      </c>
      <c r="CM73" s="562"/>
      <c r="CN73" s="17"/>
      <c r="CO73" s="562"/>
      <c r="CP73" s="562"/>
    </row>
    <row r="74" spans="1:96" x14ac:dyDescent="0.2">
      <c r="A74" s="407" t="s">
        <v>265</v>
      </c>
      <c r="B74" s="407"/>
      <c r="C74" s="407"/>
      <c r="D74" s="407" t="s">
        <v>266</v>
      </c>
      <c r="E74" s="566">
        <v>21.341711616773502</v>
      </c>
      <c r="F74" s="407" t="s">
        <v>258</v>
      </c>
      <c r="G74" s="54"/>
      <c r="H74" s="54">
        <v>2.0301305075142402</v>
      </c>
      <c r="I74" s="54"/>
      <c r="J74" s="407"/>
      <c r="K74" s="407"/>
      <c r="L74" s="567">
        <v>4.4999999999999998E-2</v>
      </c>
      <c r="M74" s="568">
        <v>57.15</v>
      </c>
      <c r="N74" s="569">
        <f>N85</f>
        <v>20923.251059447499</v>
      </c>
      <c r="P74" s="54">
        <v>25.4</v>
      </c>
      <c r="Q74" s="54"/>
      <c r="R74" s="54"/>
      <c r="S74" s="54"/>
      <c r="T74" s="54"/>
      <c r="U74" s="54"/>
      <c r="V74" s="54"/>
      <c r="W74" s="54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BO74" s="17">
        <v>220</v>
      </c>
      <c r="BP74">
        <f>SQRT(((2*[1]Sheet11!$G$36/2*BO74)/[1]Sheet11!$H$48*((1-([1]Sheet10!$AL$625*[1]Sheet10!$AL$627))*[1]Sheet10!$AL$631/([1]Sheet10!$AL$628*[1]Sheet10!$AL$627))*60*39.37))</f>
        <v>7.9533212788502636</v>
      </c>
      <c r="BQ74" s="428" t="e">
        <f t="shared" si="12"/>
        <v>#REF!</v>
      </c>
      <c r="BW74">
        <f>SQRT(((2*[1]Sheet11!$G$36/2*BO74)/[1]Sheet11!$H$48*((1-([1]Sheet10!$AM$625*[1]Sheet10!$AM$627))*[1]Sheet10!$AM$631/([1]Sheet10!$AM$628*[1]Sheet10!$AM$627))*60*39.37))</f>
        <v>15.181386357052356</v>
      </c>
      <c r="BX74">
        <f>SQRT(((2*[1]Sheet11!$G$36/2*BO74)/[1]Sheet11!$H$48*((1-([1]Sheet10!$AN$625*[1]Sheet10!$AN$627))*[1]Sheet10!$AN$631/([1]Sheet10!$AN$628*[1]Sheet10!$AN$627))*60*39.37))</f>
        <v>11.016532835641138</v>
      </c>
      <c r="BZ74" t="e">
        <f t="shared" ca="1" si="7"/>
        <v>#NAME?</v>
      </c>
      <c r="CA74" t="e">
        <f ca="1">(CE74*[1]Sheet10!$AL$629/(7.08*[1]Sheet11!$H$53*(CF74)))*1000*LN(([1]Sheet11!$H$52*12)/(BP74))</f>
        <v>#NAME?</v>
      </c>
      <c r="CB74" t="e">
        <f ca="1">LN(BP74/([1]Sheet11!$G$36/2))/((LN(([1]Sheet11!$H$52*12)/([1]Sheet11!$G$36/2))/CA74)-LN(([1]Sheet11!$H$52*12)/BP74)/[1]Sheet11!$H$47)</f>
        <v>#NAME?</v>
      </c>
      <c r="CC74" t="e">
        <f ca="1">((([1]Sheet11!$H$47/CB74)-1)*LN(BP74/([1]Sheet11!$G$36/2)))</f>
        <v>#NAME?</v>
      </c>
      <c r="CD74" t="e">
        <f t="shared" ca="1" si="8"/>
        <v>#NAME?</v>
      </c>
      <c r="CE74" t="e">
        <f t="shared" ca="1" si="9"/>
        <v>#NAME?</v>
      </c>
      <c r="CF74" t="e">
        <f ca="1">CE74*[1]Sheet10!$AL$629*LN([1]Sheet11!$H$52*12/([1]Sheet11!$G$36/2))/(0.00708*[1]Sheet11!$H$47*[1]Sheet11!$H$53)</f>
        <v>#NAME?</v>
      </c>
      <c r="CK74">
        <f>SQRT(((2*[1]Sheet11!$G$36/2*AV75)/[1]Sheet11!$H$48*((1-([1]Sheet10!$AL$625*[1]Sheet10!$AL$627))*[1]Sheet10!$AL$631/([1]Sheet10!$AL$628*[1]Sheet10!$AL$627))*60*39.37))</f>
        <v>0</v>
      </c>
      <c r="CM74" s="562"/>
      <c r="CN74" s="17"/>
      <c r="CO74" s="562"/>
      <c r="CP74" s="562"/>
    </row>
    <row r="75" spans="1:96" x14ac:dyDescent="0.2">
      <c r="A75" s="407" t="s">
        <v>75</v>
      </c>
      <c r="B75" s="407"/>
      <c r="C75" s="407">
        <v>20.318305890877799</v>
      </c>
      <c r="D75" s="407" t="s">
        <v>266</v>
      </c>
      <c r="E75" s="407">
        <v>41.034660598534899</v>
      </c>
      <c r="F75" s="407" t="s">
        <v>261</v>
      </c>
      <c r="G75" s="407"/>
      <c r="H75" s="54">
        <v>2.6158858352083998</v>
      </c>
      <c r="I75" s="407"/>
      <c r="J75" s="407"/>
      <c r="K75" s="407"/>
      <c r="L75" s="567">
        <v>4.4999999999999998E-2</v>
      </c>
      <c r="M75" s="568">
        <v>108.58499999999999</v>
      </c>
      <c r="N75" s="569">
        <f>N86</f>
        <v>5727.35320365809</v>
      </c>
      <c r="P75" s="54">
        <v>25.4</v>
      </c>
      <c r="Q75" s="54"/>
      <c r="R75" s="54"/>
      <c r="S75" s="54"/>
      <c r="T75" s="54"/>
      <c r="U75" s="54"/>
      <c r="V75" s="54"/>
      <c r="W75" s="54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BO75" s="17">
        <v>170</v>
      </c>
      <c r="BP75">
        <f>SQRT(((2*[1]Sheet11!$G$36/2*BO75)/[1]Sheet11!$H$48*((1-([1]Sheet10!$AL$625*[1]Sheet10!$AL$627))*[1]Sheet10!$AL$631/([1]Sheet10!$AL$628*[1]Sheet10!$AL$627))*60*39.37))</f>
        <v>6.9913596973771543</v>
      </c>
      <c r="BQ75" s="428" t="e">
        <f t="shared" si="12"/>
        <v>#REF!</v>
      </c>
      <c r="BW75">
        <f>SQRT(((2*[1]Sheet11!$G$36/2*BO75)/[1]Sheet11!$H$48*((1-([1]Sheet10!$AM$625*[1]Sheet10!$AM$627))*[1]Sheet10!$AM$631/([1]Sheet10!$AM$628*[1]Sheet10!$AM$627))*60*39.37))</f>
        <v>13.345183603893172</v>
      </c>
      <c r="BX75">
        <f>SQRT(((2*[1]Sheet11!$G$36/2*BO75)/[1]Sheet11!$H$48*((1-([1]Sheet10!$AN$625*[1]Sheet10!$AN$627))*[1]Sheet10!$AN$631/([1]Sheet10!$AN$628*[1]Sheet10!$AN$627))*60*39.37))</f>
        <v>9.6840729767511231</v>
      </c>
      <c r="BZ75" t="e">
        <f t="shared" ca="1" si="7"/>
        <v>#NAME?</v>
      </c>
      <c r="CA75" t="e">
        <f ca="1">(CE75*[1]Sheet10!$AL$629/(7.08*[1]Sheet11!$H$53*(CF75)))*1000*LN(([1]Sheet11!$H$52*12)/(BP75))</f>
        <v>#NAME?</v>
      </c>
      <c r="CB75" t="e">
        <f ca="1">LN(BP75/([1]Sheet11!$G$36/2))/((LN(([1]Sheet11!$H$52*12)/([1]Sheet11!$G$36/2))/CA75)-LN(([1]Sheet11!$H$52*12)/BP75)/[1]Sheet11!$H$47)</f>
        <v>#NAME?</v>
      </c>
      <c r="CC75" t="e">
        <f ca="1">((([1]Sheet11!$H$47/CB75)-1)*LN(BP75/([1]Sheet11!$G$36/2)))</f>
        <v>#NAME?</v>
      </c>
      <c r="CD75" t="e">
        <f t="shared" ca="1" si="8"/>
        <v>#NAME?</v>
      </c>
      <c r="CE75" t="e">
        <f t="shared" ca="1" si="9"/>
        <v>#NAME?</v>
      </c>
      <c r="CF75" t="e">
        <f ca="1">CE75*[1]Sheet10!$AL$629*LN([1]Sheet11!$H$52*12/([1]Sheet11!$G$36/2))/(0.00708*[1]Sheet11!$H$47*[1]Sheet11!$H$53)</f>
        <v>#NAME?</v>
      </c>
      <c r="CK75">
        <f>SQRT(((2*[1]Sheet11!$G$36/2*AV76)/[1]Sheet11!$H$48*((1-([1]Sheet10!$AL$625*[1]Sheet10!$AL$627))*[1]Sheet10!$AL$631/([1]Sheet10!$AL$628*[1]Sheet10!$AL$627))*60*39.37))</f>
        <v>0</v>
      </c>
      <c r="CM75" s="562"/>
      <c r="CN75" s="17"/>
      <c r="CO75" s="562"/>
      <c r="CP75" s="562"/>
    </row>
    <row r="76" spans="1:96" x14ac:dyDescent="0.2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P76" s="54"/>
      <c r="Q76" s="54"/>
      <c r="R76" s="54"/>
      <c r="S76" s="54"/>
      <c r="T76" s="54"/>
      <c r="U76" s="54"/>
      <c r="V76" s="54"/>
      <c r="W76" s="54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BO76" s="17">
        <v>120</v>
      </c>
      <c r="BP76">
        <f>SQRT(((2*[1]Sheet11!$G$36/2*BO76)/[1]Sheet11!$H$48*((1-([1]Sheet10!$AL$625*[1]Sheet10!$AL$627))*[1]Sheet10!$AL$631/([1]Sheet10!$AL$628*[1]Sheet10!$AL$627))*60*39.37))</f>
        <v>5.8739170467079935</v>
      </c>
      <c r="BQ76" s="428" t="e">
        <f t="shared" si="12"/>
        <v>#REF!</v>
      </c>
      <c r="BW76">
        <f>SQRT(((2*[1]Sheet11!$G$36/2*BO76)/[1]Sheet11!$H$48*((1-([1]Sheet10!$AM$625*[1]Sheet10!$AM$627))*[1]Sheet10!$AM$631/([1]Sheet10!$AM$628*[1]Sheet10!$AM$627))*60*39.37))</f>
        <v>11.21219689093725</v>
      </c>
      <c r="BX76">
        <f>SQRT(((2*[1]Sheet11!$G$36/2*BO76)/[1]Sheet11!$H$48*((1-([1]Sheet10!$AN$625*[1]Sheet10!$AN$627))*[1]Sheet10!$AN$631/([1]Sheet10!$AN$628*[1]Sheet10!$AN$627))*60*39.37))</f>
        <v>8.1362487129710637</v>
      </c>
      <c r="BZ76" t="e">
        <f t="shared" ca="1" si="7"/>
        <v>#NAME?</v>
      </c>
      <c r="CA76" t="e">
        <f ca="1">(CE76*[1]Sheet10!$AL$629/(7.08*[1]Sheet11!$H$53*(CF76)))*1000*LN(([1]Sheet11!$H$52*12)/(BP76))</f>
        <v>#NAME?</v>
      </c>
      <c r="CB76" t="e">
        <f ca="1">LN(BP76/([1]Sheet11!$G$36/2))/((LN(([1]Sheet11!$H$52*12)/([1]Sheet11!$G$36/2))/CA76)-LN(([1]Sheet11!$H$52*12)/BP76)/[1]Sheet11!$H$47)</f>
        <v>#NAME?</v>
      </c>
      <c r="CC76" t="e">
        <f ca="1">((([1]Sheet11!$H$47/CB76)-1)*LN(BP76/([1]Sheet11!$G$36/2)))</f>
        <v>#NAME?</v>
      </c>
      <c r="CD76" t="e">
        <f t="shared" ca="1" si="8"/>
        <v>#NAME?</v>
      </c>
      <c r="CE76" t="e">
        <f t="shared" ca="1" si="9"/>
        <v>#NAME?</v>
      </c>
      <c r="CF76" t="e">
        <f ca="1">CE76*[1]Sheet10!$AL$629*LN([1]Sheet11!$H$52*12/([1]Sheet11!$G$36/2))/(0.00708*[1]Sheet11!$H$47*[1]Sheet11!$H$53)</f>
        <v>#NAME?</v>
      </c>
      <c r="CK76">
        <f>SQRT(((2*[1]Sheet11!$G$36/2*AV77)/[1]Sheet11!$H$48*((1-([1]Sheet10!$AL$625*[1]Sheet10!$AL$627))*[1]Sheet10!$AL$631/([1]Sheet10!$AL$628*[1]Sheet10!$AL$627))*60*39.37))</f>
        <v>0</v>
      </c>
      <c r="CM76" s="562"/>
      <c r="CN76" s="17"/>
      <c r="CO76" s="562"/>
      <c r="CP76" s="562"/>
    </row>
    <row r="77" spans="1:96" x14ac:dyDescent="0.2">
      <c r="A77" s="54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t="s">
        <v>267</v>
      </c>
      <c r="M77">
        <v>2.25</v>
      </c>
      <c r="P77" s="54"/>
      <c r="Q77" s="54"/>
      <c r="R77" s="54"/>
      <c r="S77" s="54"/>
      <c r="T77" s="54"/>
      <c r="U77" s="54"/>
      <c r="V77" s="54"/>
      <c r="W77" s="54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BO77" s="17">
        <v>70</v>
      </c>
      <c r="BP77">
        <f>SQRT(((2*[1]Sheet11!$G$36/2*BO77)/[1]Sheet11!$H$48*((1-([1]Sheet10!$AL$625*[1]Sheet10!$AL$627))*[1]Sheet10!$AL$631/([1]Sheet10!$AL$628*[1]Sheet10!$AL$627))*60*39.37))</f>
        <v>4.4862782487384729</v>
      </c>
      <c r="BQ77" s="428" t="e">
        <f t="shared" si="12"/>
        <v>#REF!</v>
      </c>
      <c r="BW77">
        <f>SQRT(((2*[1]Sheet11!$G$36/2*BO77)/[1]Sheet11!$H$48*((1-([1]Sheet10!$AM$625*[1]Sheet10!$AM$627))*[1]Sheet10!$AM$631/([1]Sheet10!$AM$628*[1]Sheet10!$AM$627))*60*39.37))</f>
        <v>8.5634568265780793</v>
      </c>
      <c r="BX77">
        <f>SQRT(((2*[1]Sheet11!$G$36/2*BO77)/[1]Sheet11!$H$48*((1-([1]Sheet10!$AN$625*[1]Sheet10!$AN$627))*[1]Sheet10!$AN$631/([1]Sheet10!$AN$628*[1]Sheet10!$AN$627))*60*39.37))</f>
        <v>6.2141626000294892</v>
      </c>
      <c r="BZ77" t="e">
        <f t="shared" ca="1" si="7"/>
        <v>#NAME?</v>
      </c>
      <c r="CA77" t="e">
        <f ca="1">(CE77*[1]Sheet10!$AL$629/(7.08*[1]Sheet11!$H$53*(CF77)))*1000*LN(([1]Sheet11!$H$52*12)/(BP77))</f>
        <v>#NAME?</v>
      </c>
      <c r="CB77" t="e">
        <f ca="1">LN(BP77/([1]Sheet11!$G$36/2))/((LN(([1]Sheet11!$H$52*12)/([1]Sheet11!$G$36/2))/CA77)-LN(([1]Sheet11!$H$52*12)/BP77)/[1]Sheet11!$H$47)</f>
        <v>#NAME?</v>
      </c>
      <c r="CC77" t="e">
        <f ca="1">((([1]Sheet11!$H$47/CB77)-1)*LN(BP77/([1]Sheet11!$G$36/2)))</f>
        <v>#NAME?</v>
      </c>
      <c r="CD77" t="e">
        <f t="shared" ca="1" si="8"/>
        <v>#NAME?</v>
      </c>
      <c r="CE77" t="e">
        <f t="shared" ca="1" si="9"/>
        <v>#NAME?</v>
      </c>
      <c r="CF77" t="e">
        <f ca="1">CE77*[1]Sheet10!$AL$629*LN([1]Sheet11!$H$52*12/([1]Sheet11!$G$36/2))/(0.00708*[1]Sheet11!$H$47*[1]Sheet11!$H$53)</f>
        <v>#NAME?</v>
      </c>
      <c r="CK77">
        <f>SQRT(((2*[1]Sheet11!$G$36/2*AV78)/[1]Sheet11!$H$48*((1-([1]Sheet10!$AL$625*[1]Sheet10!$AL$627))*[1]Sheet10!$AL$631/([1]Sheet10!$AL$628*[1]Sheet10!$AL$627))*60*39.37))</f>
        <v>0</v>
      </c>
      <c r="CM77" s="562"/>
      <c r="CN77" s="17"/>
      <c r="CO77" s="562"/>
      <c r="CP77" s="562"/>
    </row>
    <row r="78" spans="1:96" x14ac:dyDescent="0.2">
      <c r="A78" s="54"/>
      <c r="B78" s="54"/>
      <c r="C78" s="54"/>
      <c r="D78" s="54"/>
      <c r="E78" s="54">
        <v>9.9340348890989798</v>
      </c>
      <c r="F78" s="54"/>
      <c r="G78" s="54"/>
      <c r="H78" s="54"/>
      <c r="I78" s="54"/>
      <c r="J78" s="54"/>
      <c r="K78" s="54"/>
      <c r="M78">
        <v>4.2750000000000004</v>
      </c>
      <c r="O78" s="570" t="s">
        <v>268</v>
      </c>
      <c r="P78" s="54"/>
      <c r="Q78" s="54"/>
      <c r="R78" s="54"/>
      <c r="S78" s="54"/>
      <c r="T78" s="54"/>
      <c r="U78" s="54"/>
      <c r="V78" s="54"/>
      <c r="W78" s="54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BO78" s="17">
        <v>20</v>
      </c>
      <c r="BP78">
        <f>SQRT(((2*[1]Sheet11!$G$36/2*BO78)/[1]Sheet11!$H$48*((1-([1]Sheet10!$AL$625*[1]Sheet10!$AL$627))*[1]Sheet10!$AL$631/([1]Sheet10!$AL$628*[1]Sheet10!$AL$627))*60*39.37))</f>
        <v>2.3980165926450816</v>
      </c>
      <c r="BQ78" s="428" t="e">
        <f t="shared" si="12"/>
        <v>#REF!</v>
      </c>
      <c r="BW78">
        <f>SQRT(((2*[1]Sheet11!$G$36/2*BO78)/[1]Sheet11!$H$48*((1-([1]Sheet10!$AM$625*[1]Sheet10!$AM$627))*[1]Sheet10!$AM$631/([1]Sheet10!$AM$628*[1]Sheet10!$AM$627))*60*39.37))</f>
        <v>4.5773602130693725</v>
      </c>
      <c r="BX78">
        <f>SQRT(((2*[1]Sheet11!$G$36/2*BO78)/[1]Sheet11!$H$48*((1-([1]Sheet10!$AN$625*[1]Sheet10!$AN$627))*[1]Sheet10!$AN$631/([1]Sheet10!$AN$628*[1]Sheet10!$AN$627))*60*39.37))</f>
        <v>3.3216096278592429</v>
      </c>
      <c r="CC78" t="e">
        <f>((([1]Sheet11!$H$47/CB78)-1)*LN(BP78/([1]Sheet11!$G$36/2)))</f>
        <v>#DIV/0!</v>
      </c>
      <c r="CD78">
        <f t="shared" si="8"/>
        <v>0</v>
      </c>
      <c r="CE78">
        <f t="shared" si="9"/>
        <v>0</v>
      </c>
      <c r="CF78">
        <f>CE78*[1]Sheet10!$AL$629*LN([1]Sheet11!$H$52*12/([1]Sheet11!$G$36/2))/(0.00708*[1]Sheet11!$H$47*[1]Sheet11!$H$53)</f>
        <v>0</v>
      </c>
    </row>
    <row r="79" spans="1:96" x14ac:dyDescent="0.2">
      <c r="A79" s="54"/>
      <c r="B79" s="54"/>
      <c r="C79" s="54"/>
      <c r="D79" s="54"/>
      <c r="E79" s="54">
        <v>2.6429376543256802</v>
      </c>
      <c r="F79" s="54"/>
      <c r="G79" s="54"/>
      <c r="H79" s="54"/>
      <c r="I79" s="54"/>
      <c r="J79" s="54"/>
      <c r="K79" s="54"/>
      <c r="O79" s="571">
        <f>IF(N74&lt;2500,16/N74,1/(-4*LOG(((L74/M74)/3.7065)-(5.0452/N74)*LOG((L74/M74)^1.1098/2.8257+(7.149/N74)^0.8981)))^2)-0.002</f>
        <v>4.8364823063132322E-3</v>
      </c>
      <c r="P79" s="54">
        <v>6.4000000000000005E-4</v>
      </c>
      <c r="Q79" s="54"/>
      <c r="R79" s="54"/>
      <c r="S79" s="54"/>
      <c r="T79" s="54"/>
      <c r="U79" s="54"/>
      <c r="V79" s="54"/>
      <c r="W79" s="54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BO79" s="17"/>
    </row>
    <row r="80" spans="1:96" x14ac:dyDescent="0.2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17"/>
      <c r="M80" s="17"/>
      <c r="N80" s="17"/>
      <c r="O80" s="571">
        <f>IF(N75&lt;2500,16/N75,1/(-4*LOG(((L75/M75)/3.7065)-(5.0452/N75)*LOG((L75/M75)^1.1098/2.8257+(7.149/N75)^0.8981)))^2)</f>
        <v>9.1057577717895861E-3</v>
      </c>
      <c r="P80" s="54">
        <v>6.9999999999999999E-4</v>
      </c>
      <c r="Q80" s="54"/>
      <c r="R80" s="54"/>
      <c r="S80" s="54"/>
      <c r="T80" s="54"/>
      <c r="U80" s="54"/>
      <c r="V80" s="54"/>
      <c r="W80" s="54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</row>
    <row r="81" spans="1:69" x14ac:dyDescent="0.2">
      <c r="A81" s="54"/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</row>
    <row r="82" spans="1:69" ht="15" x14ac:dyDescent="0.25">
      <c r="A82" s="407"/>
      <c r="B82" s="572" t="s">
        <v>264</v>
      </c>
      <c r="C82" s="573">
        <v>3505.0163816522099</v>
      </c>
      <c r="D82" s="573" t="s">
        <v>269</v>
      </c>
      <c r="E82" s="574" t="s">
        <v>270</v>
      </c>
      <c r="F82" s="573">
        <v>0</v>
      </c>
      <c r="G82" s="574" t="s">
        <v>271</v>
      </c>
      <c r="H82" s="575">
        <v>1.5709988469368599E-3</v>
      </c>
      <c r="I82" s="574" t="s">
        <v>272</v>
      </c>
      <c r="J82" s="576">
        <v>27.5229738828337</v>
      </c>
      <c r="K82" s="54"/>
      <c r="L82" s="541"/>
      <c r="M82" s="542" t="s">
        <v>273</v>
      </c>
      <c r="N82" s="404"/>
      <c r="O82" s="404" t="s">
        <v>274</v>
      </c>
      <c r="P82" s="404">
        <v>0.8</v>
      </c>
      <c r="Q82" s="404"/>
      <c r="R82" s="404"/>
      <c r="S82" s="577"/>
      <c r="T82" s="54"/>
      <c r="U82" s="54"/>
      <c r="V82" s="54"/>
      <c r="W82" s="54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BP82">
        <f>3420/60</f>
        <v>57</v>
      </c>
      <c r="BQ82" t="s">
        <v>275</v>
      </c>
    </row>
    <row r="83" spans="1:69" ht="15" x14ac:dyDescent="0.25">
      <c r="A83" s="407"/>
      <c r="B83" s="578" t="s">
        <v>264</v>
      </c>
      <c r="C83" s="573">
        <v>3505.0163816522099</v>
      </c>
      <c r="D83" s="573" t="s">
        <v>269</v>
      </c>
      <c r="E83" s="579" t="s">
        <v>270</v>
      </c>
      <c r="F83" s="580">
        <v>0</v>
      </c>
      <c r="G83" s="579" t="s">
        <v>271</v>
      </c>
      <c r="H83" s="575">
        <v>2.00685764791438E-3</v>
      </c>
      <c r="I83" s="579" t="s">
        <v>272</v>
      </c>
      <c r="J83" s="576">
        <v>0.29628339766385597</v>
      </c>
      <c r="K83" s="54"/>
      <c r="L83" s="409"/>
      <c r="M83" s="407"/>
      <c r="N83" s="54"/>
      <c r="O83" s="54"/>
      <c r="P83" s="54"/>
      <c r="Q83" s="54"/>
      <c r="R83" s="54"/>
      <c r="S83" s="410"/>
      <c r="T83" s="54"/>
      <c r="U83" s="54"/>
      <c r="V83" s="54"/>
      <c r="W83" s="54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</row>
    <row r="84" spans="1:69" ht="15" x14ac:dyDescent="0.25">
      <c r="A84" s="407"/>
      <c r="B84" s="578" t="s">
        <v>264</v>
      </c>
      <c r="C84" s="573">
        <v>3505.0163816522099</v>
      </c>
      <c r="D84" s="573" t="s">
        <v>269</v>
      </c>
      <c r="E84" s="579" t="s">
        <v>270</v>
      </c>
      <c r="F84" s="580">
        <v>0</v>
      </c>
      <c r="G84" s="579" t="s">
        <v>271</v>
      </c>
      <c r="H84" s="575">
        <v>1.33438780793405E-3</v>
      </c>
      <c r="I84" s="579" t="s">
        <v>272</v>
      </c>
      <c r="J84" s="576">
        <v>11.951514617610799</v>
      </c>
      <c r="K84" s="54"/>
      <c r="L84" s="409"/>
      <c r="M84" s="407" t="s">
        <v>276</v>
      </c>
      <c r="N84" s="54"/>
      <c r="O84" s="54"/>
      <c r="P84" s="54"/>
      <c r="Q84" s="54"/>
      <c r="R84" s="54"/>
      <c r="S84" s="410"/>
      <c r="T84" s="54"/>
      <c r="U84" s="54"/>
      <c r="V84" s="54"/>
      <c r="W84" s="54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</row>
    <row r="85" spans="1:69" ht="15" x14ac:dyDescent="0.25">
      <c r="A85" s="407"/>
      <c r="B85" s="578" t="s">
        <v>264</v>
      </c>
      <c r="C85" s="573">
        <v>3505.0163816522099</v>
      </c>
      <c r="D85" s="573" t="s">
        <v>269</v>
      </c>
      <c r="E85" s="579" t="s">
        <v>270</v>
      </c>
      <c r="F85" s="580">
        <v>0</v>
      </c>
      <c r="G85" s="579" t="s">
        <v>271</v>
      </c>
      <c r="H85" s="575">
        <v>2.00685764791438E-3</v>
      </c>
      <c r="I85" s="579" t="s">
        <v>272</v>
      </c>
      <c r="J85" s="576">
        <v>9.8761132554618603E-2</v>
      </c>
      <c r="K85" s="54"/>
      <c r="L85" s="409" t="s">
        <v>277</v>
      </c>
      <c r="M85" s="407"/>
      <c r="N85" s="407">
        <v>20923.251059447499</v>
      </c>
      <c r="O85" s="54">
        <v>4.8736117054996196E-3</v>
      </c>
      <c r="P85" s="581">
        <v>271.23530692112502</v>
      </c>
      <c r="Q85" s="54" t="s">
        <v>22</v>
      </c>
      <c r="R85" s="54" t="s">
        <v>278</v>
      </c>
      <c r="S85" s="410">
        <v>0</v>
      </c>
      <c r="T85" s="54"/>
      <c r="U85" s="54"/>
      <c r="V85" s="54"/>
      <c r="W85" s="54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</row>
    <row r="86" spans="1:69" ht="15" x14ac:dyDescent="0.25">
      <c r="A86" s="407"/>
      <c r="B86" s="578" t="s">
        <v>264</v>
      </c>
      <c r="C86" s="573">
        <v>3505.0163816522099</v>
      </c>
      <c r="D86" s="573" t="s">
        <v>269</v>
      </c>
      <c r="E86" s="579" t="s">
        <v>270</v>
      </c>
      <c r="F86" s="580">
        <v>0</v>
      </c>
      <c r="G86" s="579" t="s">
        <v>271</v>
      </c>
      <c r="H86" s="575">
        <v>1.33438780793405E-3</v>
      </c>
      <c r="I86" s="579" t="s">
        <v>272</v>
      </c>
      <c r="J86" s="576">
        <v>4.8594070423252598</v>
      </c>
      <c r="K86" s="54"/>
      <c r="L86" s="409" t="s">
        <v>279</v>
      </c>
      <c r="M86" s="407"/>
      <c r="N86" s="407">
        <v>5727.35320365809</v>
      </c>
      <c r="O86" s="54">
        <v>9.0811029589828608E-3</v>
      </c>
      <c r="P86" s="581">
        <v>401.69696069542402</v>
      </c>
      <c r="Q86" s="54" t="s">
        <v>22</v>
      </c>
      <c r="R86" s="54" t="s">
        <v>278</v>
      </c>
      <c r="S86" s="410">
        <v>0</v>
      </c>
      <c r="T86" s="54"/>
      <c r="U86" s="54"/>
      <c r="V86" s="54"/>
      <c r="W86" s="54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</row>
    <row r="87" spans="1:69" ht="15" x14ac:dyDescent="0.25">
      <c r="A87" s="407"/>
      <c r="B87" s="578" t="s">
        <v>264</v>
      </c>
      <c r="C87" s="573">
        <v>3505.0163816522099</v>
      </c>
      <c r="D87" s="573" t="s">
        <v>269</v>
      </c>
      <c r="E87" s="579" t="s">
        <v>270</v>
      </c>
      <c r="F87" s="580">
        <v>0</v>
      </c>
      <c r="G87" s="579" t="s">
        <v>271</v>
      </c>
      <c r="H87" s="575">
        <v>2.00685764791438E-3</v>
      </c>
      <c r="I87" s="579" t="s">
        <v>272</v>
      </c>
      <c r="J87" s="576">
        <v>9.8761132554618603E-2</v>
      </c>
      <c r="K87" s="54"/>
      <c r="L87" s="409"/>
      <c r="M87" s="407"/>
      <c r="N87" s="407"/>
      <c r="O87" s="54" t="s">
        <v>267</v>
      </c>
      <c r="P87" s="581">
        <v>672.93226761654898</v>
      </c>
      <c r="Q87" s="54" t="s">
        <v>22</v>
      </c>
      <c r="R87" s="54"/>
      <c r="S87" s="410"/>
      <c r="T87" s="54"/>
      <c r="U87" s="54"/>
      <c r="V87" s="54"/>
      <c r="W87" s="54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</row>
    <row r="88" spans="1:69" ht="15" x14ac:dyDescent="0.25">
      <c r="A88" s="407"/>
      <c r="B88" s="578" t="s">
        <v>264</v>
      </c>
      <c r="C88" s="573">
        <v>3505.0163816522099</v>
      </c>
      <c r="D88" s="573" t="s">
        <v>269</v>
      </c>
      <c r="E88" s="579" t="s">
        <v>270</v>
      </c>
      <c r="F88" s="580">
        <v>0</v>
      </c>
      <c r="G88" s="579" t="s">
        <v>271</v>
      </c>
      <c r="H88" s="575">
        <v>2.00685764791438E-3</v>
      </c>
      <c r="I88" s="579" t="s">
        <v>272</v>
      </c>
      <c r="J88" s="576">
        <v>9.8761132554618603E-2</v>
      </c>
      <c r="K88" s="54"/>
      <c r="L88" s="409"/>
      <c r="M88" s="407"/>
      <c r="N88" s="54"/>
      <c r="O88" s="54"/>
      <c r="P88" s="581"/>
      <c r="Q88" s="54"/>
      <c r="R88" s="54"/>
      <c r="S88" s="410"/>
      <c r="T88" s="54"/>
      <c r="U88" s="54"/>
      <c r="V88" s="54"/>
      <c r="W88" s="54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</row>
    <row r="89" spans="1:69" ht="15" x14ac:dyDescent="0.25">
      <c r="A89" s="407"/>
      <c r="B89" s="578" t="s">
        <v>264</v>
      </c>
      <c r="C89" s="573">
        <v>3505.0163816522099</v>
      </c>
      <c r="D89" s="573" t="s">
        <v>269</v>
      </c>
      <c r="E89" s="579" t="s">
        <v>270</v>
      </c>
      <c r="F89" s="580">
        <v>0</v>
      </c>
      <c r="G89" s="579" t="s">
        <v>271</v>
      </c>
      <c r="H89" s="575">
        <v>2.00685764791438E-3</v>
      </c>
      <c r="I89" s="579" t="s">
        <v>272</v>
      </c>
      <c r="J89" s="576">
        <v>9.8761132554618603E-2</v>
      </c>
      <c r="K89" s="54"/>
      <c r="L89" s="409"/>
      <c r="M89" s="407"/>
      <c r="N89" s="54" t="s">
        <v>280</v>
      </c>
      <c r="O89" s="54" t="s">
        <v>267</v>
      </c>
      <c r="P89" s="581">
        <v>879.55448151266705</v>
      </c>
      <c r="Q89" s="54" t="s">
        <v>22</v>
      </c>
      <c r="R89" s="54"/>
      <c r="S89" s="410"/>
      <c r="T89" s="54"/>
      <c r="U89" s="54"/>
      <c r="V89" s="54"/>
      <c r="W89" s="54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</row>
    <row r="90" spans="1:69" ht="15" x14ac:dyDescent="0.25">
      <c r="A90" s="407"/>
      <c r="B90" s="578" t="s">
        <v>264</v>
      </c>
      <c r="C90" s="573">
        <v>3505.0163816522099</v>
      </c>
      <c r="D90" s="573" t="s">
        <v>269</v>
      </c>
      <c r="E90" s="579" t="s">
        <v>270</v>
      </c>
      <c r="F90" s="580">
        <v>0</v>
      </c>
      <c r="G90" s="579" t="s">
        <v>271</v>
      </c>
      <c r="H90" s="575">
        <v>2.00685764791438E-3</v>
      </c>
      <c r="I90" s="579" t="s">
        <v>272</v>
      </c>
      <c r="J90" s="576">
        <v>9.8761132554618603E-2</v>
      </c>
      <c r="K90" s="54"/>
      <c r="L90" s="409"/>
      <c r="M90" s="407"/>
      <c r="N90" s="54" t="s">
        <v>281</v>
      </c>
      <c r="O90" s="54"/>
      <c r="P90" s="581">
        <v>30</v>
      </c>
      <c r="Q90" s="54" t="s">
        <v>22</v>
      </c>
      <c r="R90" s="54"/>
      <c r="S90" s="410"/>
      <c r="T90" s="54"/>
      <c r="U90" s="54"/>
      <c r="V90" s="54"/>
      <c r="W90" s="54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</row>
    <row r="91" spans="1:69" ht="15" x14ac:dyDescent="0.25">
      <c r="A91" s="407"/>
      <c r="B91" s="578" t="s">
        <v>264</v>
      </c>
      <c r="C91" s="573">
        <v>3505.0163816522099</v>
      </c>
      <c r="D91" s="573" t="s">
        <v>269</v>
      </c>
      <c r="E91" s="579" t="s">
        <v>270</v>
      </c>
      <c r="F91" s="580">
        <v>0</v>
      </c>
      <c r="G91" s="579" t="s">
        <v>271</v>
      </c>
      <c r="H91" s="575">
        <v>1.33438780793405E-3</v>
      </c>
      <c r="I91" s="579" t="s">
        <v>272</v>
      </c>
      <c r="J91" s="576">
        <v>5.7787543206030199</v>
      </c>
      <c r="K91" s="54"/>
      <c r="L91" s="409"/>
      <c r="M91" s="54"/>
      <c r="N91" s="54"/>
      <c r="O91" s="54"/>
      <c r="P91" s="581">
        <v>909.55448151266705</v>
      </c>
      <c r="Q91" s="54" t="s">
        <v>22</v>
      </c>
      <c r="R91" s="54"/>
      <c r="S91" s="582"/>
      <c r="T91" s="54"/>
      <c r="U91" s="54"/>
      <c r="V91" s="54"/>
      <c r="W91" s="54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</row>
    <row r="92" spans="1:69" ht="15" x14ac:dyDescent="0.25">
      <c r="A92" s="407"/>
      <c r="B92" s="578" t="s">
        <v>264</v>
      </c>
      <c r="C92" s="573">
        <v>3505.0163816522099</v>
      </c>
      <c r="D92" s="573" t="s">
        <v>269</v>
      </c>
      <c r="E92" s="579" t="s">
        <v>270</v>
      </c>
      <c r="F92" s="580">
        <v>0</v>
      </c>
      <c r="G92" s="579" t="s">
        <v>271</v>
      </c>
      <c r="H92" s="575">
        <v>2.00685764791438E-3</v>
      </c>
      <c r="I92" s="579" t="s">
        <v>272</v>
      </c>
      <c r="J92" s="576">
        <v>0.29628339766385597</v>
      </c>
      <c r="K92" s="54"/>
      <c r="L92" s="409"/>
      <c r="M92" s="54"/>
      <c r="N92" s="54"/>
      <c r="O92" s="54"/>
      <c r="P92" s="581"/>
      <c r="Q92" s="54"/>
      <c r="R92" s="54"/>
      <c r="S92" s="583"/>
      <c r="T92" s="54"/>
      <c r="U92" s="54"/>
      <c r="V92" s="54"/>
      <c r="W92" s="54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</row>
    <row r="93" spans="1:69" ht="15" x14ac:dyDescent="0.25">
      <c r="A93" s="407"/>
      <c r="B93" s="578"/>
      <c r="C93" s="580"/>
      <c r="D93" s="579"/>
      <c r="E93" s="579" t="s">
        <v>282</v>
      </c>
      <c r="F93" s="579">
        <v>0</v>
      </c>
      <c r="G93" s="579"/>
      <c r="H93" s="584"/>
      <c r="I93" s="579" t="s">
        <v>282</v>
      </c>
      <c r="J93" s="585">
        <v>51.1990223214735</v>
      </c>
      <c r="K93" s="54"/>
      <c r="L93" s="409"/>
      <c r="M93" s="54"/>
      <c r="P93" s="407"/>
      <c r="Q93" s="54"/>
      <c r="R93" s="54" t="s">
        <v>283</v>
      </c>
      <c r="S93" s="410"/>
      <c r="T93" s="54"/>
      <c r="U93" s="54"/>
      <c r="V93" s="54"/>
      <c r="W93" s="54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</row>
    <row r="94" spans="1:69" ht="15" x14ac:dyDescent="0.25">
      <c r="A94" s="407" t="s">
        <v>261</v>
      </c>
      <c r="B94" s="578" t="s">
        <v>264</v>
      </c>
      <c r="C94" s="580">
        <v>1634.4361954363601</v>
      </c>
      <c r="D94" s="580" t="s">
        <v>278</v>
      </c>
      <c r="E94" s="579" t="s">
        <v>270</v>
      </c>
      <c r="F94" s="580">
        <v>36.449635258820201</v>
      </c>
      <c r="G94" s="579" t="s">
        <v>271</v>
      </c>
      <c r="H94" s="586">
        <v>0</v>
      </c>
      <c r="I94" s="579" t="s">
        <v>284</v>
      </c>
      <c r="J94" s="587">
        <v>0</v>
      </c>
      <c r="K94" s="54"/>
      <c r="L94" s="409"/>
      <c r="M94" s="407"/>
      <c r="N94" s="54" t="s">
        <v>285</v>
      </c>
      <c r="O94" s="581">
        <v>2198.8862037816698</v>
      </c>
      <c r="P94" s="581"/>
      <c r="Q94" s="54"/>
      <c r="R94" s="581">
        <v>1659.53675757107</v>
      </c>
      <c r="S94" s="410"/>
      <c r="T94" s="54"/>
      <c r="U94" s="54"/>
      <c r="V94" s="54"/>
      <c r="W94" s="54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</row>
    <row r="95" spans="1:69" ht="15" x14ac:dyDescent="0.25">
      <c r="A95" s="407" t="s">
        <v>286</v>
      </c>
      <c r="B95" s="588" t="s">
        <v>264</v>
      </c>
      <c r="C95" s="589">
        <v>1162.9188473900499</v>
      </c>
      <c r="D95" s="589" t="s">
        <v>278</v>
      </c>
      <c r="E95" s="590" t="s">
        <v>270</v>
      </c>
      <c r="F95" s="589">
        <v>88.985460561653895</v>
      </c>
      <c r="G95" s="590" t="s">
        <v>271</v>
      </c>
      <c r="H95" s="591">
        <v>0</v>
      </c>
      <c r="I95" s="590" t="s">
        <v>284</v>
      </c>
      <c r="J95" s="592">
        <v>0</v>
      </c>
      <c r="K95" s="54"/>
      <c r="L95" s="593"/>
      <c r="M95" s="594"/>
      <c r="N95" s="594" t="s">
        <v>287</v>
      </c>
      <c r="O95" s="595">
        <v>1319.331722269</v>
      </c>
      <c r="P95" s="595"/>
      <c r="Q95" s="594"/>
      <c r="R95" s="595">
        <v>779.98227605840304</v>
      </c>
      <c r="S95" s="596"/>
      <c r="T95" s="54"/>
      <c r="U95" s="54"/>
      <c r="V95" s="54"/>
      <c r="W95" s="54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</row>
    <row r="96" spans="1:69" ht="15" x14ac:dyDescent="0.25">
      <c r="A96" s="407" t="s">
        <v>286</v>
      </c>
      <c r="B96" s="588" t="s">
        <v>264</v>
      </c>
      <c r="C96" s="589">
        <v>1313.9712220450299</v>
      </c>
      <c r="D96" s="589" t="s">
        <v>278</v>
      </c>
      <c r="E96" s="590" t="s">
        <v>270</v>
      </c>
      <c r="F96" s="589">
        <v>29.988095754170999</v>
      </c>
      <c r="G96" s="590" t="s">
        <v>271</v>
      </c>
      <c r="H96" s="591">
        <v>0</v>
      </c>
      <c r="I96" s="590" t="s">
        <v>284</v>
      </c>
      <c r="J96" s="592">
        <v>0</v>
      </c>
      <c r="K96" s="54"/>
      <c r="L96" s="54"/>
      <c r="M96" s="54"/>
      <c r="N96" s="54" t="s">
        <v>45</v>
      </c>
      <c r="O96" s="581">
        <v>357.86086347856201</v>
      </c>
      <c r="Q96" s="54"/>
      <c r="R96" s="581">
        <v>270.08367054985803</v>
      </c>
      <c r="S96" s="54"/>
      <c r="T96" s="54"/>
      <c r="U96" s="54"/>
      <c r="V96" s="54"/>
      <c r="W96" s="54"/>
    </row>
    <row r="97" spans="1:23" x14ac:dyDescent="0.2">
      <c r="A97" s="407" t="s">
        <v>288</v>
      </c>
      <c r="B97" s="407"/>
      <c r="C97" s="407"/>
      <c r="D97" s="407"/>
      <c r="E97" s="407"/>
      <c r="F97" s="407">
        <v>155.42319157464499</v>
      </c>
      <c r="G97" s="407"/>
      <c r="H97" s="407"/>
      <c r="I97" s="407"/>
      <c r="J97" s="407">
        <v>51.1990223214735</v>
      </c>
      <c r="K97" s="407"/>
      <c r="L97" s="54"/>
      <c r="M97" s="407"/>
      <c r="N97" s="54" t="s">
        <v>289</v>
      </c>
      <c r="O97" s="566">
        <v>0.26291173605540702</v>
      </c>
      <c r="P97" s="54" t="s">
        <v>290</v>
      </c>
      <c r="Q97" s="54"/>
      <c r="R97" s="566">
        <v>0.341935827809703</v>
      </c>
      <c r="S97" s="54"/>
      <c r="T97" s="54"/>
      <c r="U97" s="54"/>
      <c r="V97" s="54"/>
      <c r="W97" s="54"/>
    </row>
    <row r="98" spans="1:23" ht="15" x14ac:dyDescent="0.25">
      <c r="A98" s="559" t="s">
        <v>123</v>
      </c>
      <c r="B98" s="559"/>
      <c r="C98" s="407"/>
      <c r="D98" s="407">
        <v>7788.2222138961197</v>
      </c>
      <c r="E98" s="407"/>
      <c r="F98" s="54"/>
      <c r="G98" s="54"/>
      <c r="H98" s="54"/>
      <c r="I98" s="407"/>
      <c r="J98" s="597"/>
      <c r="K98" s="407"/>
      <c r="L98" s="54"/>
      <c r="M98" s="407"/>
      <c r="N98" s="407" t="s">
        <v>291</v>
      </c>
      <c r="O98" s="581">
        <v>10.6893020154706</v>
      </c>
      <c r="P98" s="54"/>
      <c r="Q98" s="54"/>
      <c r="R98" s="581">
        <v>12.190363769398701</v>
      </c>
      <c r="S98" s="54"/>
      <c r="T98" s="54"/>
      <c r="U98" s="54"/>
      <c r="V98" s="54"/>
      <c r="W98" s="54"/>
    </row>
    <row r="99" spans="1:23" ht="15" x14ac:dyDescent="0.25">
      <c r="A99" s="54"/>
      <c r="B99" s="54"/>
      <c r="C99" s="559"/>
      <c r="D99" s="54"/>
      <c r="E99" s="407"/>
      <c r="F99" s="407" t="s">
        <v>292</v>
      </c>
      <c r="G99" s="407"/>
      <c r="H99" s="407">
        <v>206.62221389611901</v>
      </c>
      <c r="I99" s="407"/>
      <c r="J99" s="54"/>
      <c r="K99" s="54"/>
      <c r="L99" s="54"/>
      <c r="M99" s="54"/>
      <c r="N99" s="54" t="s">
        <v>293</v>
      </c>
      <c r="O99" s="581">
        <v>10.6893020154706</v>
      </c>
      <c r="P99" s="54"/>
      <c r="Q99" s="54"/>
      <c r="R99" s="581">
        <v>12.190363769398701</v>
      </c>
      <c r="S99" s="54"/>
      <c r="T99" s="54"/>
      <c r="U99" s="54"/>
      <c r="V99" s="54"/>
      <c r="W99" s="54"/>
    </row>
    <row r="100" spans="1:23" x14ac:dyDescent="0.2">
      <c r="A100" s="54"/>
      <c r="B100" s="54"/>
      <c r="C100" s="54"/>
      <c r="D100" s="54"/>
      <c r="E100" s="407"/>
      <c r="F100" s="54"/>
      <c r="G100" s="54"/>
      <c r="H100" s="407"/>
      <c r="I100" s="54"/>
      <c r="J100" s="54"/>
      <c r="K100" s="54"/>
      <c r="L100" s="54"/>
      <c r="M100" s="54"/>
      <c r="N100" s="54" t="s">
        <v>294</v>
      </c>
      <c r="O100" s="581">
        <v>10.6893020154706</v>
      </c>
      <c r="P100" s="54"/>
      <c r="Q100" s="54"/>
      <c r="R100" s="581">
        <v>12.190363769398701</v>
      </c>
      <c r="S100" s="54"/>
      <c r="T100" s="54"/>
      <c r="U100" s="54"/>
      <c r="V100" s="54"/>
      <c r="W100" s="54"/>
    </row>
    <row r="101" spans="1:23" x14ac:dyDescent="0.2">
      <c r="A101" s="54"/>
      <c r="B101" s="54"/>
      <c r="C101" s="54"/>
      <c r="D101" s="54"/>
      <c r="E101" s="54"/>
      <c r="F101" s="54"/>
      <c r="G101" s="54"/>
      <c r="H101" s="407"/>
      <c r="I101" s="54"/>
      <c r="J101" s="54"/>
      <c r="K101" s="54"/>
      <c r="L101" s="54"/>
      <c r="M101" s="54"/>
      <c r="N101" s="54" t="s">
        <v>295</v>
      </c>
      <c r="O101" s="581" t="s">
        <v>46</v>
      </c>
      <c r="P101" s="54"/>
      <c r="Q101" s="54"/>
      <c r="R101" s="581" t="s">
        <v>46</v>
      </c>
      <c r="S101" s="54"/>
      <c r="T101" s="54"/>
      <c r="U101" s="54"/>
      <c r="V101" s="54"/>
      <c r="W101" s="54"/>
    </row>
    <row r="102" spans="1:23" x14ac:dyDescent="0.2">
      <c r="A102" s="54"/>
      <c r="B102" s="407" t="s">
        <v>296</v>
      </c>
      <c r="C102" s="407"/>
      <c r="D102" s="407"/>
      <c r="E102" s="407"/>
      <c r="F102" s="407"/>
      <c r="G102" s="407"/>
      <c r="H102" s="407"/>
      <c r="I102" s="54"/>
      <c r="J102" s="54"/>
      <c r="K102" s="54"/>
      <c r="L102" s="54"/>
      <c r="M102" s="407"/>
      <c r="N102" s="54" t="s">
        <v>297</v>
      </c>
      <c r="O102" s="581" t="s">
        <v>46</v>
      </c>
      <c r="P102" s="54"/>
      <c r="Q102" s="407"/>
      <c r="R102" s="581" t="s">
        <v>46</v>
      </c>
      <c r="S102" s="407"/>
      <c r="T102" s="54"/>
      <c r="U102" s="54"/>
      <c r="V102" s="54"/>
      <c r="W102" s="54"/>
    </row>
    <row r="103" spans="1:23" ht="14.25" x14ac:dyDescent="0.2">
      <c r="A103" s="54"/>
      <c r="B103" s="598" t="s">
        <v>298</v>
      </c>
      <c r="C103" s="542"/>
      <c r="D103" s="542"/>
      <c r="E103" s="543"/>
      <c r="F103" s="598" t="s">
        <v>299</v>
      </c>
      <c r="G103" s="542"/>
      <c r="H103" s="543">
        <v>0</v>
      </c>
      <c r="I103" s="54"/>
      <c r="J103" s="54"/>
      <c r="K103" s="54"/>
      <c r="L103" s="54"/>
      <c r="M103" s="54"/>
      <c r="N103" s="54" t="s">
        <v>300</v>
      </c>
      <c r="O103" s="581" t="s">
        <v>46</v>
      </c>
      <c r="P103" s="407"/>
      <c r="Q103" s="54"/>
      <c r="R103" s="581" t="s">
        <v>46</v>
      </c>
      <c r="S103" s="407"/>
      <c r="T103" s="54"/>
      <c r="U103" s="54"/>
      <c r="V103" s="54"/>
      <c r="W103" s="54"/>
    </row>
    <row r="104" spans="1:23" x14ac:dyDescent="0.2">
      <c r="A104" s="54"/>
      <c r="B104" s="409" t="s">
        <v>301</v>
      </c>
      <c r="C104" s="407"/>
      <c r="D104" s="407" t="s">
        <v>302</v>
      </c>
      <c r="E104" s="412">
        <v>10.282815478284901</v>
      </c>
      <c r="F104" s="409" t="s">
        <v>301</v>
      </c>
      <c r="G104" s="407" t="s">
        <v>303</v>
      </c>
      <c r="H104" s="412">
        <v>266.78636203357598</v>
      </c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407"/>
      <c r="T104" s="54"/>
      <c r="U104" s="54"/>
      <c r="V104" s="54"/>
      <c r="W104" s="54"/>
    </row>
    <row r="105" spans="1:23" x14ac:dyDescent="0.2">
      <c r="A105" s="54"/>
      <c r="B105" s="409"/>
      <c r="C105" s="407"/>
      <c r="D105" s="407" t="s">
        <v>304</v>
      </c>
      <c r="E105" s="412">
        <v>7.1740573104313299</v>
      </c>
      <c r="F105" s="409"/>
      <c r="G105" s="407" t="s">
        <v>305</v>
      </c>
      <c r="H105" s="412">
        <v>2794.9047451136498</v>
      </c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407"/>
      <c r="T105" s="54"/>
      <c r="U105" s="54"/>
      <c r="V105" s="54"/>
      <c r="W105" s="54"/>
    </row>
    <row r="106" spans="1:23" x14ac:dyDescent="0.2">
      <c r="A106" s="54"/>
      <c r="B106" s="409" t="s">
        <v>132</v>
      </c>
      <c r="C106" s="407"/>
      <c r="D106" s="407" t="s">
        <v>218</v>
      </c>
      <c r="E106" s="412">
        <v>12.437916315226801</v>
      </c>
      <c r="F106" s="409"/>
      <c r="G106" s="407" t="s">
        <v>306</v>
      </c>
      <c r="H106" s="599">
        <v>9.5000000000000001E-2</v>
      </c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407"/>
      <c r="T106" s="54"/>
      <c r="U106" s="54"/>
      <c r="V106" s="54"/>
      <c r="W106" s="54"/>
    </row>
    <row r="107" spans="1:23" x14ac:dyDescent="0.2">
      <c r="A107" s="54"/>
      <c r="B107" s="413"/>
      <c r="C107" s="547"/>
      <c r="D107" s="547"/>
      <c r="E107" s="600"/>
      <c r="F107" s="409" t="s">
        <v>307</v>
      </c>
      <c r="G107" s="54">
        <v>3420</v>
      </c>
      <c r="H107" s="412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407"/>
      <c r="T107" s="54"/>
      <c r="U107" s="54"/>
      <c r="V107" s="54"/>
      <c r="W107" s="54"/>
    </row>
    <row r="108" spans="1:23" x14ac:dyDescent="0.2">
      <c r="A108" s="54"/>
      <c r="B108" s="54"/>
      <c r="C108" s="54"/>
      <c r="D108" s="54"/>
      <c r="E108" s="407"/>
      <c r="F108" s="413" t="s">
        <v>132</v>
      </c>
      <c r="G108" s="547"/>
      <c r="H108" s="415">
        <v>0</v>
      </c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407"/>
      <c r="T108" s="54"/>
      <c r="U108" s="54"/>
      <c r="V108" s="54"/>
      <c r="W108" s="54"/>
    </row>
    <row r="109" spans="1:23" x14ac:dyDescent="0.2">
      <c r="A109" s="54"/>
      <c r="B109" s="54"/>
      <c r="C109" s="54"/>
      <c r="D109" s="54"/>
      <c r="E109" s="54"/>
      <c r="F109" s="407"/>
      <c r="G109" s="54" t="s">
        <v>308</v>
      </c>
      <c r="H109" s="54"/>
      <c r="I109" s="54"/>
      <c r="J109" s="54"/>
      <c r="K109" s="54"/>
      <c r="L109" s="407"/>
      <c r="M109" s="407"/>
      <c r="N109" s="407"/>
      <c r="O109" s="407"/>
      <c r="P109" s="407"/>
      <c r="Q109" s="54"/>
      <c r="R109" s="54"/>
      <c r="S109" s="54"/>
      <c r="T109" s="54"/>
      <c r="U109" s="54"/>
      <c r="V109" s="54"/>
      <c r="W109" s="54"/>
    </row>
    <row r="110" spans="1:23" x14ac:dyDescent="0.2">
      <c r="A110" s="541" t="s">
        <v>309</v>
      </c>
      <c r="B110" s="404"/>
      <c r="C110" s="543">
        <v>0</v>
      </c>
      <c r="D110" s="54" t="s">
        <v>22</v>
      </c>
      <c r="E110" s="54"/>
      <c r="F110" s="407"/>
      <c r="G110" s="54">
        <v>756915840</v>
      </c>
      <c r="H110" s="54"/>
      <c r="I110" s="54" t="s">
        <v>308</v>
      </c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</row>
    <row r="111" spans="1:23" ht="15" x14ac:dyDescent="0.25">
      <c r="A111" s="406"/>
      <c r="B111" s="407"/>
      <c r="C111" s="601">
        <v>0</v>
      </c>
      <c r="D111" s="54"/>
      <c r="E111" s="54"/>
      <c r="F111" s="403" t="s">
        <v>192</v>
      </c>
      <c r="G111" s="404">
        <v>5256360</v>
      </c>
      <c r="H111" s="405">
        <v>0</v>
      </c>
      <c r="I111" s="602">
        <v>0</v>
      </c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</row>
    <row r="112" spans="1:23" ht="15" x14ac:dyDescent="0.25">
      <c r="A112" s="409" t="s">
        <v>174</v>
      </c>
      <c r="B112" s="407"/>
      <c r="C112" s="603">
        <v>0</v>
      </c>
      <c r="D112" s="54" t="s">
        <v>175</v>
      </c>
      <c r="E112" s="54"/>
      <c r="F112" s="406"/>
      <c r="G112" s="407"/>
      <c r="H112" s="408">
        <v>0</v>
      </c>
      <c r="I112" s="54">
        <v>0</v>
      </c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</row>
    <row r="113" spans="1:23" ht="15" x14ac:dyDescent="0.25">
      <c r="A113" s="409" t="s">
        <v>176</v>
      </c>
      <c r="B113" s="407"/>
      <c r="C113" s="603">
        <v>0</v>
      </c>
      <c r="D113" s="407" t="s">
        <v>175</v>
      </c>
      <c r="E113" s="54"/>
      <c r="F113" s="409" t="s">
        <v>193</v>
      </c>
      <c r="G113" s="407">
        <v>1.375</v>
      </c>
      <c r="H113" s="410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</row>
    <row r="114" spans="1:23" ht="15" x14ac:dyDescent="0.25">
      <c r="A114" s="409" t="s">
        <v>177</v>
      </c>
      <c r="B114" s="407"/>
      <c r="C114" s="603">
        <v>0</v>
      </c>
      <c r="D114" s="407"/>
      <c r="E114" s="54"/>
      <c r="F114" s="409" t="s">
        <v>194</v>
      </c>
      <c r="G114" s="407">
        <v>5.9365625</v>
      </c>
      <c r="H114" s="410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</row>
    <row r="115" spans="1:23" x14ac:dyDescent="0.2">
      <c r="A115" s="593"/>
      <c r="B115" s="594"/>
      <c r="C115" s="604"/>
      <c r="D115" s="407"/>
      <c r="E115" s="54"/>
      <c r="F115" s="409" t="s">
        <v>195</v>
      </c>
      <c r="G115" s="407">
        <v>35.2499587995976</v>
      </c>
      <c r="H115" s="412">
        <v>6.3686926277032203</v>
      </c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</row>
    <row r="116" spans="1:23" x14ac:dyDescent="0.2">
      <c r="A116" s="593" t="s">
        <v>310</v>
      </c>
      <c r="B116" s="594"/>
      <c r="C116" s="604">
        <v>0</v>
      </c>
      <c r="D116" s="407" t="s">
        <v>237</v>
      </c>
      <c r="E116" s="54"/>
      <c r="F116" s="409" t="s">
        <v>196</v>
      </c>
      <c r="G116" s="407">
        <v>0</v>
      </c>
      <c r="H116" s="412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</row>
    <row r="117" spans="1:23" x14ac:dyDescent="0.2">
      <c r="A117" s="54"/>
      <c r="B117" s="54"/>
      <c r="C117" s="54"/>
      <c r="D117" s="54"/>
      <c r="E117" s="54"/>
      <c r="F117" s="413" t="s">
        <v>200</v>
      </c>
      <c r="G117" s="414">
        <v>0</v>
      </c>
      <c r="H117" s="415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</row>
    <row r="118" spans="1:23" x14ac:dyDescent="0.2">
      <c r="A118" s="54"/>
      <c r="B118" s="54"/>
      <c r="C118" s="54"/>
      <c r="D118" s="54"/>
      <c r="E118" s="54"/>
      <c r="F118" s="602" t="s">
        <v>308</v>
      </c>
      <c r="G118" s="54">
        <v>0</v>
      </c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</row>
    <row r="119" spans="1:23" x14ac:dyDescent="0.2">
      <c r="A119" s="54"/>
      <c r="B119" s="54"/>
      <c r="C119" s="54"/>
      <c r="D119" s="54">
        <v>0</v>
      </c>
      <c r="E119" s="54"/>
      <c r="F119" s="602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</row>
    <row r="120" spans="1:23" x14ac:dyDescent="0.2">
      <c r="A120" s="54"/>
      <c r="B120" s="54"/>
      <c r="C120" s="54"/>
      <c r="D120" s="54"/>
      <c r="E120" s="54"/>
      <c r="F120" s="407"/>
      <c r="G120" s="54"/>
      <c r="H120" s="605" t="s">
        <v>135</v>
      </c>
      <c r="I120" s="606">
        <v>57</v>
      </c>
      <c r="J120" s="407"/>
      <c r="K120" s="54"/>
      <c r="L120" s="407"/>
      <c r="M120" s="407"/>
      <c r="N120" s="407"/>
      <c r="O120" s="407"/>
      <c r="P120" s="407"/>
      <c r="Q120" s="54"/>
      <c r="R120" s="54"/>
      <c r="S120" s="54"/>
      <c r="T120" s="54"/>
      <c r="U120" s="54"/>
      <c r="V120" s="54"/>
      <c r="W120" s="54"/>
    </row>
    <row r="121" spans="1:23" ht="15" x14ac:dyDescent="0.25">
      <c r="A121" s="54"/>
      <c r="B121" s="54"/>
      <c r="C121" s="54"/>
      <c r="D121" s="54"/>
      <c r="E121" s="54"/>
      <c r="F121" s="54"/>
      <c r="G121" s="54"/>
      <c r="H121" s="607" t="s">
        <v>136</v>
      </c>
      <c r="I121" s="607">
        <v>28</v>
      </c>
      <c r="J121" s="582">
        <v>206.62221389611901</v>
      </c>
      <c r="K121" s="54"/>
      <c r="L121" s="54"/>
      <c r="M121" s="54"/>
      <c r="N121" s="54"/>
      <c r="O121" s="407"/>
      <c r="P121" s="407"/>
      <c r="Q121" s="54"/>
      <c r="R121" s="54"/>
      <c r="S121" s="54"/>
      <c r="T121" s="54"/>
      <c r="U121" s="54"/>
      <c r="V121" s="54"/>
      <c r="W121" s="54"/>
    </row>
    <row r="122" spans="1:23" x14ac:dyDescent="0.2">
      <c r="A122" s="54"/>
      <c r="B122" s="608" t="s">
        <v>161</v>
      </c>
      <c r="C122" s="609"/>
      <c r="D122" s="609"/>
      <c r="E122" s="610"/>
      <c r="F122" s="407"/>
      <c r="G122" s="54"/>
      <c r="H122" s="579" t="s">
        <v>311</v>
      </c>
      <c r="I122" s="611"/>
      <c r="J122" s="612">
        <v>330</v>
      </c>
      <c r="K122" s="54"/>
      <c r="L122" s="54"/>
      <c r="M122" s="54"/>
      <c r="N122" s="54"/>
      <c r="O122" s="407"/>
      <c r="P122" s="407"/>
      <c r="Q122" s="54"/>
      <c r="R122" s="54"/>
      <c r="S122" s="54"/>
      <c r="T122" s="54"/>
      <c r="U122" s="54"/>
      <c r="V122" s="54"/>
      <c r="W122" s="54"/>
    </row>
    <row r="123" spans="1:23" x14ac:dyDescent="0.2">
      <c r="A123" s="54"/>
      <c r="B123" s="403" t="s">
        <v>95</v>
      </c>
      <c r="C123" s="404"/>
      <c r="D123" s="542">
        <v>0</v>
      </c>
      <c r="E123" s="577"/>
      <c r="F123" s="407"/>
      <c r="G123" s="54"/>
      <c r="H123" s="579" t="s">
        <v>312</v>
      </c>
      <c r="I123" s="611"/>
      <c r="J123" s="612">
        <v>8800</v>
      </c>
      <c r="K123" s="54"/>
      <c r="L123" s="54"/>
      <c r="M123" s="54"/>
      <c r="N123" s="54"/>
      <c r="O123" s="407"/>
      <c r="P123" s="407"/>
      <c r="Q123" s="54"/>
      <c r="R123" s="54"/>
      <c r="S123" s="54"/>
      <c r="T123" s="54"/>
      <c r="U123" s="54"/>
      <c r="V123" s="54"/>
      <c r="W123" s="54"/>
    </row>
    <row r="124" spans="1:23" ht="15" x14ac:dyDescent="0.25">
      <c r="A124" s="54"/>
      <c r="B124" s="406" t="s">
        <v>97</v>
      </c>
      <c r="C124" s="54"/>
      <c r="D124" s="582">
        <v>200</v>
      </c>
      <c r="E124" s="410" t="s">
        <v>175</v>
      </c>
      <c r="F124" s="407"/>
      <c r="G124" s="54"/>
      <c r="H124" s="54"/>
      <c r="I124" s="54"/>
      <c r="J124" s="54"/>
      <c r="K124" s="54"/>
      <c r="L124" s="54"/>
      <c r="M124" s="54"/>
      <c r="N124" s="54"/>
      <c r="O124" s="407"/>
      <c r="P124" s="407"/>
      <c r="Q124" s="54"/>
      <c r="R124" s="54"/>
      <c r="S124" s="54"/>
      <c r="T124" s="54"/>
      <c r="U124" s="54"/>
      <c r="V124" s="54"/>
      <c r="W124" s="54"/>
    </row>
    <row r="125" spans="1:23" ht="15" x14ac:dyDescent="0.25">
      <c r="A125" s="54"/>
      <c r="B125" s="406" t="s">
        <v>313</v>
      </c>
      <c r="C125" s="54"/>
      <c r="D125" s="559">
        <v>0.14000000000000001</v>
      </c>
      <c r="E125" s="410"/>
      <c r="F125" s="407"/>
      <c r="G125" s="54"/>
      <c r="H125" s="54"/>
      <c r="I125" s="54"/>
      <c r="J125" s="54"/>
      <c r="K125" s="54"/>
      <c r="L125" s="54"/>
      <c r="M125" s="54"/>
      <c r="N125" s="54"/>
      <c r="O125" s="407"/>
      <c r="P125" s="407"/>
      <c r="Q125" s="54"/>
      <c r="R125" s="54"/>
      <c r="S125" s="54"/>
      <c r="T125" s="54"/>
      <c r="U125" s="54"/>
      <c r="V125" s="54"/>
      <c r="W125" s="54"/>
    </row>
    <row r="126" spans="1:23" ht="15" x14ac:dyDescent="0.25">
      <c r="A126" s="54"/>
      <c r="B126" s="406" t="s">
        <v>162</v>
      </c>
      <c r="C126" s="54"/>
      <c r="D126" s="54"/>
      <c r="E126" s="613">
        <v>42.483120836674203</v>
      </c>
      <c r="F126" s="407"/>
      <c r="G126" s="54"/>
      <c r="H126" s="54"/>
      <c r="I126" s="54"/>
      <c r="J126" s="54"/>
      <c r="K126" s="54"/>
      <c r="L126" s="54"/>
      <c r="M126" s="54"/>
      <c r="N126" s="54"/>
      <c r="O126" s="407"/>
      <c r="P126" s="407"/>
      <c r="Q126" s="54"/>
      <c r="R126" s="54"/>
      <c r="S126" s="54"/>
      <c r="T126" s="54"/>
      <c r="U126" s="54"/>
      <c r="V126" s="54"/>
      <c r="W126" s="54"/>
    </row>
    <row r="127" spans="1:23" x14ac:dyDescent="0.2">
      <c r="A127" s="54"/>
      <c r="B127" s="406" t="s">
        <v>314</v>
      </c>
      <c r="C127" s="54"/>
      <c r="D127" s="407">
        <v>5.9476369171343801</v>
      </c>
      <c r="E127" s="410"/>
      <c r="F127" s="407"/>
      <c r="G127" s="54"/>
      <c r="H127" s="54"/>
      <c r="I127" s="54"/>
      <c r="J127" s="54"/>
      <c r="K127" s="54"/>
      <c r="L127" s="54"/>
      <c r="M127" s="407" t="s">
        <v>315</v>
      </c>
      <c r="N127" s="407"/>
      <c r="O127" s="407"/>
      <c r="P127" s="407"/>
      <c r="Q127" s="407"/>
      <c r="R127" s="54"/>
      <c r="S127" s="54"/>
      <c r="T127" s="54"/>
      <c r="U127" s="54"/>
      <c r="V127" s="54"/>
      <c r="W127" s="54"/>
    </row>
    <row r="128" spans="1:23" x14ac:dyDescent="0.2">
      <c r="A128" s="54"/>
      <c r="B128" s="406" t="s">
        <v>164</v>
      </c>
      <c r="C128" s="54"/>
      <c r="D128" s="407">
        <v>7.6821499145920003</v>
      </c>
      <c r="E128" s="410" t="s">
        <v>237</v>
      </c>
      <c r="F128" s="54"/>
      <c r="G128" s="9">
        <v>0.14000000000000001</v>
      </c>
      <c r="H128" s="54"/>
      <c r="I128" s="54"/>
      <c r="J128" s="54"/>
      <c r="K128" s="54"/>
      <c r="L128" s="54"/>
      <c r="M128" s="579" t="s">
        <v>112</v>
      </c>
      <c r="N128" s="579" t="s">
        <v>113</v>
      </c>
      <c r="O128" s="579" t="s">
        <v>316</v>
      </c>
      <c r="P128" s="579" t="s">
        <v>114</v>
      </c>
      <c r="Q128" s="614" t="s">
        <v>317</v>
      </c>
      <c r="R128" s="54"/>
      <c r="S128" s="54"/>
      <c r="T128" s="54"/>
      <c r="U128" s="54"/>
      <c r="V128" s="54"/>
      <c r="W128" s="54"/>
    </row>
    <row r="129" spans="1:23" x14ac:dyDescent="0.2">
      <c r="A129" s="54"/>
      <c r="B129" s="409" t="s">
        <v>318</v>
      </c>
      <c r="C129" s="54"/>
      <c r="D129" s="407">
        <v>3.8080349999999998</v>
      </c>
      <c r="E129" s="410" t="s">
        <v>319</v>
      </c>
      <c r="F129" s="54"/>
      <c r="G129" s="400">
        <v>200</v>
      </c>
      <c r="H129" s="54"/>
      <c r="I129" s="54"/>
      <c r="J129" s="54"/>
      <c r="K129" s="54"/>
      <c r="L129" s="54"/>
      <c r="M129" s="280">
        <v>1</v>
      </c>
      <c r="N129" s="605" t="s">
        <v>320</v>
      </c>
      <c r="O129" s="280">
        <v>6</v>
      </c>
      <c r="P129" s="280">
        <v>20.16</v>
      </c>
      <c r="Q129" s="579">
        <v>70.907586206896596</v>
      </c>
      <c r="R129" s="54"/>
      <c r="S129" s="54"/>
      <c r="T129" s="54"/>
      <c r="U129" s="54"/>
      <c r="V129" s="54"/>
      <c r="W129" s="54"/>
    </row>
    <row r="130" spans="1:23" x14ac:dyDescent="0.2">
      <c r="A130" s="54"/>
      <c r="B130" s="409" t="s">
        <v>108</v>
      </c>
      <c r="C130" s="407"/>
      <c r="D130" s="602">
        <v>1E-3</v>
      </c>
      <c r="E130" s="412" t="s">
        <v>237</v>
      </c>
      <c r="F130" s="54"/>
      <c r="G130" s="17">
        <v>0.197434</v>
      </c>
      <c r="H130" s="54"/>
      <c r="I130" s="54"/>
      <c r="J130" s="54"/>
      <c r="K130" s="54"/>
      <c r="L130" s="54"/>
      <c r="M130" s="280">
        <v>2</v>
      </c>
      <c r="N130" s="579" t="s">
        <v>321</v>
      </c>
      <c r="O130" s="280">
        <v>4</v>
      </c>
      <c r="P130" s="280">
        <v>17.64</v>
      </c>
      <c r="Q130" s="579">
        <v>41.362758620689704</v>
      </c>
      <c r="R130" s="407"/>
      <c r="S130" s="54"/>
      <c r="T130" s="54"/>
      <c r="U130" s="54"/>
      <c r="V130" s="54"/>
      <c r="W130" s="54"/>
    </row>
    <row r="131" spans="1:23" ht="15" x14ac:dyDescent="0.25">
      <c r="A131" s="54"/>
      <c r="B131" s="615" t="s">
        <v>165</v>
      </c>
      <c r="C131" s="602"/>
      <c r="D131" s="616">
        <v>1.17361221015776E-3</v>
      </c>
      <c r="E131" s="412" t="s">
        <v>237</v>
      </c>
      <c r="F131" s="54"/>
      <c r="G131" s="17">
        <v>6.7177207018877597E-4</v>
      </c>
      <c r="H131" s="54"/>
      <c r="I131" s="54"/>
      <c r="J131" s="54"/>
      <c r="K131" s="54"/>
      <c r="L131" s="54"/>
      <c r="M131" s="280">
        <v>3</v>
      </c>
      <c r="N131" s="605" t="s">
        <v>117</v>
      </c>
      <c r="O131" s="280">
        <v>150</v>
      </c>
      <c r="P131" s="280">
        <v>36.119999999999997</v>
      </c>
      <c r="Q131" s="579">
        <v>3176.06896551724</v>
      </c>
      <c r="R131" s="54"/>
      <c r="S131" s="54"/>
      <c r="T131" s="54"/>
      <c r="U131" s="54"/>
      <c r="V131" s="54"/>
      <c r="W131" s="54"/>
    </row>
    <row r="132" spans="1:23" ht="15" x14ac:dyDescent="0.25">
      <c r="A132" s="54"/>
      <c r="B132" s="409" t="s">
        <v>166</v>
      </c>
      <c r="C132" s="407"/>
      <c r="D132" s="617" t="s">
        <v>167</v>
      </c>
      <c r="E132" s="410"/>
      <c r="F132" s="54"/>
      <c r="G132" s="54">
        <v>2.6447719298770697E-4</v>
      </c>
      <c r="H132" s="54"/>
      <c r="I132" s="54"/>
      <c r="J132" s="54"/>
      <c r="K132" s="54"/>
      <c r="L132" s="54"/>
      <c r="M132" s="280">
        <v>4</v>
      </c>
      <c r="N132" s="605" t="s">
        <v>118</v>
      </c>
      <c r="O132" s="280">
        <v>35</v>
      </c>
      <c r="P132" s="280">
        <v>21.84</v>
      </c>
      <c r="Q132" s="579">
        <v>448.09655172413801</v>
      </c>
      <c r="R132" s="54"/>
      <c r="S132" s="54"/>
      <c r="T132" s="54"/>
      <c r="U132" s="54"/>
      <c r="V132" s="54"/>
      <c r="W132" s="54"/>
    </row>
    <row r="133" spans="1:23" ht="15" x14ac:dyDescent="0.25">
      <c r="A133" s="54"/>
      <c r="B133" s="615" t="s">
        <v>322</v>
      </c>
      <c r="C133" s="602"/>
      <c r="D133" s="616">
        <v>1.08123201156763E-2</v>
      </c>
      <c r="E133" s="412" t="s">
        <v>319</v>
      </c>
      <c r="F133" s="54"/>
      <c r="G133" s="54"/>
      <c r="H133" s="54"/>
      <c r="I133" s="54"/>
      <c r="J133" s="54"/>
      <c r="K133" s="54"/>
      <c r="L133" s="54"/>
      <c r="M133" s="280">
        <v>5</v>
      </c>
      <c r="N133" s="605" t="s">
        <v>120</v>
      </c>
      <c r="O133" s="280">
        <v>5</v>
      </c>
      <c r="P133" s="280">
        <v>13.44</v>
      </c>
      <c r="Q133" s="579">
        <v>39.393103448275902</v>
      </c>
      <c r="R133" s="54"/>
      <c r="S133" s="54"/>
      <c r="T133" s="54"/>
      <c r="U133" s="54"/>
      <c r="V133" s="54"/>
      <c r="W133" s="54"/>
    </row>
    <row r="134" spans="1:23" x14ac:dyDescent="0.2">
      <c r="A134" s="54"/>
      <c r="B134" s="406" t="s">
        <v>323</v>
      </c>
      <c r="C134" s="54"/>
      <c r="D134" s="602">
        <v>5.7662788767530504</v>
      </c>
      <c r="E134" s="410" t="s">
        <v>324</v>
      </c>
      <c r="F134" s="54"/>
      <c r="G134" s="54"/>
      <c r="H134" s="54"/>
      <c r="I134" s="54"/>
      <c r="J134" s="54"/>
      <c r="K134" s="54"/>
      <c r="L134" s="54"/>
      <c r="M134" s="280">
        <v>6</v>
      </c>
      <c r="N134" s="605" t="s">
        <v>122</v>
      </c>
      <c r="O134" s="280">
        <v>0</v>
      </c>
      <c r="P134" s="280">
        <v>13.44</v>
      </c>
      <c r="Q134" s="579">
        <v>0</v>
      </c>
      <c r="R134" s="54"/>
      <c r="S134" s="54"/>
      <c r="T134" s="54"/>
      <c r="U134" s="54"/>
      <c r="V134" s="54"/>
      <c r="W134" s="54"/>
    </row>
    <row r="135" spans="1:23" ht="15" x14ac:dyDescent="0.25">
      <c r="A135" s="54"/>
      <c r="B135" s="618" t="s">
        <v>325</v>
      </c>
      <c r="C135" s="414"/>
      <c r="D135" s="619">
        <v>2.05803390045594</v>
      </c>
      <c r="E135" s="415" t="s">
        <v>326</v>
      </c>
      <c r="F135" s="407"/>
      <c r="G135" s="54"/>
      <c r="H135" s="54"/>
      <c r="I135" s="54"/>
      <c r="J135" s="54"/>
      <c r="K135" s="54"/>
      <c r="L135" s="54"/>
      <c r="M135" s="280">
        <v>7</v>
      </c>
      <c r="N135" s="605" t="s">
        <v>327</v>
      </c>
      <c r="O135" s="280">
        <v>3</v>
      </c>
      <c r="P135" s="280">
        <v>11.76</v>
      </c>
      <c r="Q135" s="579">
        <v>20.681379310344798</v>
      </c>
      <c r="R135" s="54"/>
      <c r="S135" s="54"/>
      <c r="T135" s="54"/>
      <c r="U135" s="54"/>
      <c r="V135" s="54"/>
      <c r="W135" s="54"/>
    </row>
    <row r="136" spans="1:23" ht="15" x14ac:dyDescent="0.25">
      <c r="A136" s="54"/>
      <c r="B136" s="54"/>
      <c r="C136" s="54"/>
      <c r="D136" s="54"/>
      <c r="E136" s="54"/>
      <c r="F136" s="54"/>
      <c r="G136" s="407"/>
      <c r="H136" s="54"/>
      <c r="I136" s="617"/>
      <c r="J136" s="54"/>
      <c r="K136" s="54"/>
      <c r="L136" s="54"/>
      <c r="M136" s="280">
        <v>8</v>
      </c>
      <c r="N136" s="605" t="s">
        <v>328</v>
      </c>
      <c r="O136" s="280">
        <v>0</v>
      </c>
      <c r="P136" s="280">
        <v>11.76</v>
      </c>
      <c r="Q136" s="579">
        <v>0</v>
      </c>
      <c r="R136" s="54"/>
      <c r="S136" s="54"/>
      <c r="T136" s="54"/>
      <c r="U136" s="54"/>
      <c r="V136" s="54"/>
      <c r="W136" s="54"/>
    </row>
    <row r="137" spans="1:23" ht="15" x14ac:dyDescent="0.25">
      <c r="A137" s="54"/>
      <c r="B137" s="54"/>
      <c r="C137" s="54"/>
      <c r="D137" s="54"/>
      <c r="E137" s="54"/>
      <c r="F137" s="54"/>
      <c r="G137" s="602"/>
      <c r="H137" s="602"/>
      <c r="I137" s="616"/>
      <c r="J137" s="407"/>
      <c r="K137" s="54"/>
      <c r="L137" s="54"/>
      <c r="M137" s="407"/>
      <c r="N137" s="407"/>
      <c r="O137" s="407">
        <v>203</v>
      </c>
      <c r="P137" s="407"/>
      <c r="Q137" s="407">
        <v>3796.51034482759</v>
      </c>
      <c r="R137" s="54"/>
      <c r="S137" s="54"/>
      <c r="T137" s="54"/>
      <c r="U137" s="54"/>
      <c r="V137" s="54"/>
      <c r="W137" s="54"/>
    </row>
    <row r="138" spans="1:23" x14ac:dyDescent="0.2">
      <c r="A138" s="54"/>
      <c r="B138" s="407"/>
      <c r="C138" s="54"/>
      <c r="D138" s="54"/>
      <c r="E138" s="54"/>
      <c r="F138" s="54"/>
      <c r="G138" s="54"/>
      <c r="H138" s="54"/>
      <c r="I138" s="602"/>
      <c r="J138" s="54"/>
      <c r="K138" s="54"/>
      <c r="L138" s="54"/>
      <c r="M138" s="54"/>
      <c r="N138" s="54"/>
      <c r="O138" s="407"/>
      <c r="P138" s="407"/>
      <c r="Q138" s="54"/>
      <c r="R138" s="54"/>
      <c r="S138" s="54"/>
      <c r="T138" s="54"/>
      <c r="U138" s="54"/>
      <c r="V138" s="54"/>
      <c r="W138" s="54"/>
    </row>
    <row r="139" spans="1:23" ht="15" x14ac:dyDescent="0.25">
      <c r="A139" s="54"/>
      <c r="B139" s="620"/>
      <c r="C139" s="54"/>
      <c r="D139" s="54"/>
      <c r="E139" s="54"/>
      <c r="F139" s="54"/>
      <c r="G139" s="602"/>
      <c r="H139" s="602"/>
      <c r="I139" s="616"/>
      <c r="J139" s="407"/>
      <c r="K139" s="54"/>
      <c r="L139" s="54"/>
      <c r="M139" s="54"/>
      <c r="N139" s="54"/>
      <c r="O139" s="407"/>
      <c r="P139" s="407"/>
      <c r="Q139" s="54"/>
      <c r="R139" s="54"/>
      <c r="S139" s="54"/>
      <c r="T139" s="54"/>
      <c r="U139" s="54"/>
      <c r="V139" s="54"/>
      <c r="W139" s="54"/>
    </row>
    <row r="140" spans="1:23" x14ac:dyDescent="0.2">
      <c r="A140" s="54"/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</row>
    <row r="141" spans="1:23" x14ac:dyDescent="0.2">
      <c r="A141" s="54"/>
      <c r="B141" s="5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621" t="s">
        <v>39</v>
      </c>
      <c r="N141" s="54"/>
      <c r="O141" s="54">
        <v>0</v>
      </c>
      <c r="P141" s="54"/>
      <c r="Q141" s="54"/>
      <c r="R141" s="54"/>
      <c r="S141" s="54"/>
      <c r="T141" s="54"/>
      <c r="U141" s="54"/>
      <c r="V141" s="54"/>
      <c r="W141" s="54"/>
    </row>
    <row r="142" spans="1:23" x14ac:dyDescent="0.2">
      <c r="A142" s="54"/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621" t="s">
        <v>43</v>
      </c>
      <c r="N142" s="54"/>
      <c r="O142" s="54">
        <v>0</v>
      </c>
      <c r="P142" s="54"/>
      <c r="Q142" s="54"/>
      <c r="R142" s="54"/>
      <c r="S142" s="54"/>
      <c r="T142" s="54"/>
      <c r="U142" s="54"/>
      <c r="V142" s="54"/>
      <c r="W142" s="54"/>
    </row>
    <row r="143" spans="1:23" x14ac:dyDescent="0.2">
      <c r="A143" s="54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621" t="s">
        <v>45</v>
      </c>
      <c r="N143" s="54"/>
      <c r="O143" s="54">
        <v>779.98227605840304</v>
      </c>
      <c r="P143" s="54"/>
      <c r="Q143" s="54"/>
      <c r="R143" s="54"/>
      <c r="S143" s="54"/>
      <c r="T143" s="54"/>
      <c r="U143" s="54"/>
      <c r="V143" s="54"/>
      <c r="W143" s="54"/>
    </row>
    <row r="144" spans="1:23" x14ac:dyDescent="0.2">
      <c r="A144" s="54"/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622" t="s">
        <v>51</v>
      </c>
      <c r="N144" s="54"/>
      <c r="O144" s="54">
        <v>1659.53675757107</v>
      </c>
      <c r="P144" s="54"/>
      <c r="Q144" s="54"/>
      <c r="R144" s="54"/>
      <c r="S144" s="54"/>
      <c r="T144" s="54"/>
      <c r="U144" s="54"/>
      <c r="V144" s="54"/>
      <c r="W144" s="54"/>
    </row>
    <row r="145" spans="1:23" x14ac:dyDescent="0.2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</row>
    <row r="146" spans="1:23" x14ac:dyDescent="0.2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</row>
    <row r="147" spans="1:23" x14ac:dyDescent="0.2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</row>
    <row r="148" spans="1:23" x14ac:dyDescent="0.2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</row>
    <row r="149" spans="1:23" x14ac:dyDescent="0.2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407"/>
      <c r="P149" s="407"/>
      <c r="Q149" s="54"/>
      <c r="R149" s="54"/>
      <c r="S149" s="54"/>
      <c r="T149" s="54"/>
      <c r="U149" s="54"/>
      <c r="V149" s="54"/>
      <c r="W149" s="54"/>
    </row>
    <row r="150" spans="1:23" x14ac:dyDescent="0.2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623" t="s">
        <v>125</v>
      </c>
      <c r="M150" s="54">
        <v>0</v>
      </c>
      <c r="N150" s="54"/>
      <c r="O150" s="407"/>
      <c r="P150" s="407"/>
      <c r="Q150" s="54"/>
      <c r="R150" s="54"/>
      <c r="S150" s="54"/>
      <c r="T150" s="54"/>
      <c r="U150" s="54"/>
      <c r="V150" s="54"/>
      <c r="W150" s="54"/>
    </row>
    <row r="151" spans="1:23" x14ac:dyDescent="0.2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407"/>
      <c r="P151" s="407"/>
      <c r="Q151" s="54"/>
      <c r="R151" s="54"/>
      <c r="S151" s="54"/>
      <c r="T151" s="54"/>
      <c r="U151" s="54"/>
      <c r="V151" s="54"/>
      <c r="W151" s="54"/>
    </row>
    <row r="152" spans="1:23" x14ac:dyDescent="0.2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407"/>
      <c r="P152" s="407"/>
      <c r="Q152" s="54"/>
      <c r="R152" s="54"/>
      <c r="S152" s="54"/>
      <c r="T152" s="54"/>
      <c r="U152" s="54"/>
      <c r="V152" s="54"/>
      <c r="W152" s="54"/>
    </row>
    <row r="153" spans="1:23" x14ac:dyDescent="0.2">
      <c r="A153" s="54"/>
      <c r="B153" s="54"/>
      <c r="C153" s="54"/>
      <c r="D153" s="54"/>
      <c r="E153" s="54"/>
      <c r="F153" s="407"/>
      <c r="G153" s="54"/>
      <c r="H153" s="54"/>
      <c r="I153" s="54"/>
      <c r="J153" s="54"/>
      <c r="K153" s="407"/>
      <c r="L153" s="407"/>
      <c r="M153" s="407"/>
      <c r="N153" s="407"/>
      <c r="O153" s="407"/>
      <c r="P153" s="407"/>
      <c r="Q153" s="54"/>
      <c r="R153" s="54"/>
      <c r="S153" s="54"/>
      <c r="T153" s="54"/>
      <c r="U153" s="54"/>
      <c r="V153" s="54"/>
      <c r="W153" s="54"/>
    </row>
    <row r="154" spans="1:23" x14ac:dyDescent="0.2">
      <c r="A154" s="54"/>
      <c r="B154" s="54"/>
      <c r="C154" s="54"/>
      <c r="D154" s="54"/>
      <c r="E154" s="54"/>
      <c r="F154" s="407"/>
      <c r="G154" s="54"/>
      <c r="H154" s="54"/>
      <c r="I154" s="54"/>
      <c r="J154" s="54"/>
      <c r="K154" s="54"/>
      <c r="L154" s="624" t="s">
        <v>151</v>
      </c>
      <c r="M154" s="54">
        <v>128.774435734485</v>
      </c>
      <c r="N154" s="54"/>
      <c r="O154" s="407"/>
      <c r="P154" s="407"/>
      <c r="Q154" s="54"/>
      <c r="R154" s="54"/>
      <c r="S154" s="54"/>
      <c r="T154" s="54"/>
      <c r="U154" s="54"/>
      <c r="V154" s="54"/>
      <c r="W154" s="54"/>
    </row>
    <row r="155" spans="1:23" x14ac:dyDescent="0.2">
      <c r="A155" s="54"/>
      <c r="B155" s="54"/>
      <c r="C155" s="54"/>
      <c r="D155" s="54"/>
      <c r="E155" s="54"/>
      <c r="F155" s="407"/>
      <c r="G155" s="54"/>
      <c r="H155" s="54"/>
      <c r="I155" s="54"/>
      <c r="J155" s="54"/>
      <c r="K155" s="54"/>
      <c r="L155" s="624" t="s">
        <v>152</v>
      </c>
      <c r="M155" s="54">
        <v>0</v>
      </c>
      <c r="N155" s="54"/>
      <c r="O155" s="407"/>
      <c r="P155" s="407"/>
      <c r="Q155" s="54"/>
      <c r="R155" s="54"/>
      <c r="S155" s="54"/>
      <c r="T155" s="54"/>
      <c r="U155" s="54"/>
      <c r="V155" s="54"/>
      <c r="W155" s="54"/>
    </row>
    <row r="156" spans="1:23" x14ac:dyDescent="0.2">
      <c r="A156" s="54"/>
      <c r="B156" s="54"/>
      <c r="C156" s="54"/>
      <c r="D156" s="54"/>
      <c r="E156" s="54"/>
      <c r="F156" s="407"/>
      <c r="G156" s="54"/>
      <c r="H156" s="54"/>
      <c r="I156" s="54"/>
      <c r="J156" s="54"/>
      <c r="K156" s="54"/>
      <c r="L156" s="54"/>
      <c r="M156" s="54"/>
      <c r="N156" s="54"/>
      <c r="O156" s="407"/>
      <c r="P156" s="407"/>
      <c r="Q156" s="54"/>
      <c r="R156" s="54"/>
      <c r="S156" s="54"/>
      <c r="T156" s="54"/>
      <c r="U156" s="54"/>
      <c r="V156" s="54"/>
      <c r="W156" s="54"/>
    </row>
    <row r="157" spans="1:23" x14ac:dyDescent="0.2">
      <c r="A157" s="54"/>
      <c r="B157" s="54"/>
      <c r="C157" s="54"/>
      <c r="D157" s="54"/>
      <c r="E157" s="54"/>
      <c r="F157" s="407"/>
      <c r="G157" s="54"/>
      <c r="H157" s="54"/>
      <c r="I157" s="54"/>
      <c r="J157" s="54"/>
      <c r="K157" s="407"/>
      <c r="L157" s="407"/>
      <c r="M157" s="407"/>
      <c r="N157" s="407"/>
      <c r="O157" s="407"/>
      <c r="P157" s="407"/>
      <c r="Q157" s="54"/>
      <c r="R157" s="54"/>
      <c r="S157" s="54"/>
      <c r="T157" s="54"/>
      <c r="U157" s="54"/>
      <c r="V157" s="54"/>
      <c r="W157" s="54"/>
    </row>
    <row r="158" spans="1:23" ht="15" x14ac:dyDescent="0.25">
      <c r="A158" s="54"/>
      <c r="B158" s="54"/>
      <c r="C158" s="54"/>
      <c r="D158" s="54"/>
      <c r="E158" s="54"/>
      <c r="F158" s="625"/>
      <c r="G158" s="54"/>
      <c r="H158" s="54"/>
      <c r="I158" s="54" t="s">
        <v>329</v>
      </c>
      <c r="J158" s="407"/>
      <c r="K158" s="54"/>
      <c r="L158" s="54"/>
      <c r="M158" s="407"/>
      <c r="N158" s="407"/>
      <c r="O158" s="407"/>
      <c r="P158" s="407"/>
      <c r="Q158" s="54"/>
      <c r="R158" s="54"/>
      <c r="S158" s="54"/>
      <c r="T158" s="54"/>
      <c r="U158" s="54"/>
      <c r="V158" s="54"/>
      <c r="W158" s="54"/>
    </row>
    <row r="159" spans="1:23" x14ac:dyDescent="0.2">
      <c r="A159" s="54"/>
      <c r="B159" s="54"/>
      <c r="C159" s="54"/>
      <c r="D159" s="407"/>
      <c r="E159" s="54"/>
      <c r="F159" s="54"/>
      <c r="G159" s="54"/>
      <c r="H159" s="54"/>
      <c r="I159" s="54"/>
      <c r="J159" s="407"/>
      <c r="K159" s="407"/>
      <c r="L159" s="407"/>
      <c r="M159" s="407"/>
      <c r="N159" s="407"/>
      <c r="O159" s="407"/>
      <c r="P159" s="407"/>
      <c r="Q159" s="54"/>
      <c r="R159" s="54"/>
      <c r="S159" s="54"/>
      <c r="T159" s="54"/>
      <c r="U159" s="54"/>
      <c r="V159" s="54"/>
      <c r="W159" s="54"/>
    </row>
    <row r="160" spans="1:23" ht="14.25" x14ac:dyDescent="0.2">
      <c r="A160" s="626" t="s">
        <v>330</v>
      </c>
      <c r="B160" s="627"/>
      <c r="C160" s="627"/>
      <c r="D160" s="627"/>
      <c r="E160" s="628"/>
      <c r="F160" s="407"/>
      <c r="G160" s="629" t="s">
        <v>178</v>
      </c>
      <c r="H160" s="630"/>
      <c r="I160" s="630"/>
      <c r="J160" s="627"/>
      <c r="K160" s="628"/>
      <c r="L160" s="631"/>
      <c r="M160" s="407"/>
      <c r="N160" s="54"/>
      <c r="O160" s="407"/>
      <c r="P160" s="407"/>
      <c r="Q160" s="54"/>
      <c r="R160" s="54"/>
      <c r="S160" s="54"/>
      <c r="T160" s="54"/>
      <c r="U160" s="54"/>
      <c r="V160" s="54"/>
      <c r="W160" s="54"/>
    </row>
    <row r="161" spans="1:23" ht="15" x14ac:dyDescent="0.25">
      <c r="A161" s="624" t="s">
        <v>331</v>
      </c>
      <c r="B161" s="632"/>
      <c r="C161" s="633"/>
      <c r="D161" s="634" t="s">
        <v>14</v>
      </c>
      <c r="E161" s="635"/>
      <c r="F161" s="407"/>
      <c r="G161" s="636" t="s">
        <v>331</v>
      </c>
      <c r="H161" s="637"/>
      <c r="I161" s="638"/>
      <c r="J161" s="543" t="s">
        <v>14</v>
      </c>
      <c r="K161" s="577"/>
      <c r="L161" s="407"/>
      <c r="M161" s="407"/>
      <c r="N161" s="54"/>
      <c r="O161" s="407"/>
      <c r="P161" s="407"/>
      <c r="Q161" s="54"/>
      <c r="R161" s="54"/>
      <c r="S161" s="54"/>
      <c r="T161" s="54"/>
      <c r="U161" s="54"/>
      <c r="V161" s="54"/>
      <c r="W161" s="54"/>
    </row>
    <row r="162" spans="1:23" ht="15" x14ac:dyDescent="0.25">
      <c r="A162" s="624" t="s">
        <v>332</v>
      </c>
      <c r="B162" s="632"/>
      <c r="C162" s="633"/>
      <c r="D162" s="639"/>
      <c r="E162" s="640">
        <v>0</v>
      </c>
      <c r="F162" s="407" t="s">
        <v>237</v>
      </c>
      <c r="G162" s="624" t="s">
        <v>332</v>
      </c>
      <c r="H162" s="632"/>
      <c r="I162" s="623"/>
      <c r="J162" s="634">
        <v>0</v>
      </c>
      <c r="K162" s="410"/>
      <c r="L162" s="54" t="s">
        <v>237</v>
      </c>
      <c r="M162" s="407"/>
      <c r="N162" s="54"/>
      <c r="O162" s="407"/>
      <c r="P162" s="407"/>
      <c r="Q162" s="54"/>
      <c r="R162" s="54"/>
      <c r="S162" s="54"/>
      <c r="T162" s="54"/>
      <c r="U162" s="54"/>
      <c r="V162" s="54"/>
      <c r="W162" s="54"/>
    </row>
    <row r="163" spans="1:23" ht="15" x14ac:dyDescent="0.25">
      <c r="A163" s="54"/>
      <c r="B163" s="54"/>
      <c r="C163" s="54"/>
      <c r="D163" s="54"/>
      <c r="E163" s="54"/>
      <c r="F163" s="54"/>
      <c r="G163" s="624" t="s">
        <v>179</v>
      </c>
      <c r="H163" s="632"/>
      <c r="I163" s="623"/>
      <c r="J163" s="634">
        <v>0.80013333859583602</v>
      </c>
      <c r="K163" s="410"/>
      <c r="L163" s="54" t="s">
        <v>333</v>
      </c>
      <c r="M163" s="407"/>
      <c r="N163" s="54"/>
      <c r="O163" s="407"/>
      <c r="P163" s="407"/>
      <c r="Q163" s="54"/>
      <c r="R163" s="54"/>
      <c r="S163" s="54"/>
      <c r="T163" s="54"/>
      <c r="U163" s="54"/>
      <c r="V163" s="54"/>
      <c r="W163" s="54"/>
    </row>
    <row r="164" spans="1:23" ht="15" x14ac:dyDescent="0.25">
      <c r="A164" s="54"/>
      <c r="B164" s="54"/>
      <c r="C164" s="54"/>
      <c r="D164" s="54"/>
      <c r="E164" s="54"/>
      <c r="F164" s="54"/>
      <c r="G164" s="624" t="s">
        <v>180</v>
      </c>
      <c r="H164" s="623"/>
      <c r="I164" s="623"/>
      <c r="J164" s="634">
        <v>8.3134708275433802E-2</v>
      </c>
      <c r="K164" s="410"/>
      <c r="L164" s="54" t="s">
        <v>333</v>
      </c>
      <c r="M164" s="407"/>
      <c r="N164" s="54"/>
      <c r="O164" s="407"/>
      <c r="P164" s="407"/>
      <c r="Q164" s="54"/>
      <c r="R164" s="54"/>
      <c r="S164" s="54"/>
      <c r="T164" s="54"/>
      <c r="U164" s="54"/>
      <c r="V164" s="54"/>
      <c r="W164" s="54"/>
    </row>
    <row r="165" spans="1:23" ht="15" x14ac:dyDescent="0.25">
      <c r="A165" s="54"/>
      <c r="B165" s="54" t="s">
        <v>334</v>
      </c>
      <c r="C165" s="54"/>
      <c r="D165" s="54">
        <v>8.0319143792065208</v>
      </c>
      <c r="E165" s="54"/>
      <c r="F165" s="54"/>
      <c r="G165" s="624" t="s">
        <v>181</v>
      </c>
      <c r="H165" s="632"/>
      <c r="I165" s="623"/>
      <c r="J165" s="634">
        <v>0.88326804687127003</v>
      </c>
      <c r="K165" s="410"/>
      <c r="L165" s="54" t="s">
        <v>333</v>
      </c>
      <c r="M165" s="407"/>
      <c r="N165" s="54"/>
      <c r="O165" s="407"/>
      <c r="P165" s="407"/>
      <c r="Q165" s="54"/>
      <c r="R165" s="54"/>
      <c r="S165" s="54"/>
      <c r="T165" s="54"/>
      <c r="U165" s="54"/>
      <c r="V165" s="54"/>
      <c r="W165" s="54"/>
    </row>
    <row r="166" spans="1:23" ht="15" x14ac:dyDescent="0.25">
      <c r="A166" s="54"/>
      <c r="B166" s="54"/>
      <c r="C166" s="54"/>
      <c r="D166" s="54"/>
      <c r="E166" s="54"/>
      <c r="F166" s="54"/>
      <c r="G166" s="624" t="s">
        <v>182</v>
      </c>
      <c r="H166" s="632"/>
      <c r="I166" s="623"/>
      <c r="J166" s="641">
        <v>0</v>
      </c>
      <c r="K166" s="410"/>
      <c r="L166" s="407" t="s">
        <v>335</v>
      </c>
      <c r="M166" s="407"/>
      <c r="N166" s="54"/>
      <c r="O166" s="407"/>
      <c r="P166" s="407"/>
      <c r="Q166" s="54"/>
      <c r="R166" s="54"/>
      <c r="S166" s="54"/>
      <c r="T166" s="54"/>
      <c r="U166" s="54"/>
      <c r="V166" s="54"/>
      <c r="W166" s="54"/>
    </row>
    <row r="167" spans="1:23" ht="15" x14ac:dyDescent="0.25">
      <c r="A167" s="54"/>
      <c r="B167" s="54"/>
      <c r="C167" s="54"/>
      <c r="D167" s="54"/>
      <c r="E167" s="54"/>
      <c r="F167" s="54"/>
      <c r="G167" s="624" t="s">
        <v>183</v>
      </c>
      <c r="H167" s="632"/>
      <c r="I167" s="623"/>
      <c r="J167" s="641">
        <v>0</v>
      </c>
      <c r="K167" s="410"/>
      <c r="L167" s="407" t="s">
        <v>335</v>
      </c>
      <c r="M167" s="407"/>
      <c r="N167" s="54"/>
      <c r="O167" s="407"/>
      <c r="P167" s="407"/>
      <c r="Q167" s="54"/>
      <c r="R167" s="54"/>
      <c r="S167" s="54"/>
      <c r="T167" s="54"/>
      <c r="U167" s="54"/>
      <c r="V167" s="54"/>
      <c r="W167" s="54"/>
    </row>
    <row r="168" spans="1:23" ht="15" x14ac:dyDescent="0.25">
      <c r="A168" s="54"/>
      <c r="B168" s="54"/>
      <c r="C168" s="54"/>
      <c r="D168" s="54"/>
      <c r="E168" s="54"/>
      <c r="F168" s="54"/>
      <c r="G168" s="622" t="s">
        <v>177</v>
      </c>
      <c r="H168" s="642"/>
      <c r="I168" s="642"/>
      <c r="J168" s="643">
        <v>0</v>
      </c>
      <c r="K168" s="596"/>
      <c r="L168" s="407"/>
      <c r="M168" s="407"/>
      <c r="N168" s="54"/>
      <c r="O168" s="407"/>
      <c r="P168" s="407"/>
      <c r="Q168" s="54"/>
      <c r="R168" s="54"/>
      <c r="S168" s="54"/>
      <c r="T168" s="54"/>
      <c r="U168" s="54"/>
      <c r="V168" s="54"/>
      <c r="W168" s="54"/>
    </row>
    <row r="169" spans="1:23" x14ac:dyDescent="0.2">
      <c r="A169" s="54"/>
      <c r="B169" s="54"/>
      <c r="C169" s="54"/>
      <c r="D169" s="54"/>
      <c r="E169" s="54"/>
      <c r="F169" s="407"/>
      <c r="G169" s="407"/>
      <c r="H169" s="407"/>
      <c r="I169" s="407"/>
      <c r="J169" s="407"/>
      <c r="K169" s="407"/>
      <c r="L169" s="407"/>
      <c r="M169" s="407"/>
      <c r="N169" s="54"/>
      <c r="O169" s="407"/>
      <c r="P169" s="407"/>
      <c r="Q169" s="54"/>
      <c r="R169" s="54"/>
      <c r="S169" s="54"/>
      <c r="T169" s="54"/>
      <c r="U169" s="54"/>
      <c r="V169" s="54"/>
      <c r="W169" s="54"/>
    </row>
    <row r="170" spans="1:23" x14ac:dyDescent="0.2">
      <c r="A170" s="581"/>
      <c r="B170" s="54"/>
      <c r="C170" s="407"/>
      <c r="D170" s="54"/>
      <c r="E170" s="54"/>
      <c r="F170" s="407"/>
      <c r="G170" s="407"/>
      <c r="H170" s="407"/>
      <c r="I170" s="407"/>
      <c r="J170" s="407"/>
      <c r="K170" s="407"/>
      <c r="L170" s="407"/>
      <c r="M170" s="407"/>
      <c r="N170" s="54"/>
      <c r="O170" s="407"/>
      <c r="P170" s="407"/>
      <c r="Q170" s="54"/>
      <c r="R170" s="54"/>
      <c r="S170" s="54"/>
      <c r="T170" s="54"/>
      <c r="U170" s="54"/>
      <c r="V170" s="54"/>
      <c r="W170" s="54"/>
    </row>
    <row r="171" spans="1:23" ht="15" x14ac:dyDescent="0.25">
      <c r="A171" s="54"/>
      <c r="B171" s="54"/>
      <c r="C171" s="54"/>
      <c r="D171" s="54"/>
      <c r="E171" s="54"/>
      <c r="F171" s="644"/>
      <c r="G171" s="54"/>
      <c r="H171" s="54"/>
      <c r="I171" s="54"/>
      <c r="J171" s="54"/>
      <c r="K171" s="54"/>
      <c r="L171" s="54"/>
      <c r="M171" s="407"/>
      <c r="N171" s="407"/>
      <c r="O171" s="407"/>
      <c r="P171" s="407"/>
      <c r="Q171" s="54"/>
      <c r="R171" s="54"/>
      <c r="S171" s="54"/>
      <c r="T171" s="54"/>
      <c r="U171" s="54"/>
      <c r="V171" s="54"/>
      <c r="W171" s="54"/>
    </row>
    <row r="172" spans="1:23" x14ac:dyDescent="0.2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407"/>
      <c r="N172" s="407"/>
      <c r="O172" s="407"/>
      <c r="P172" s="407"/>
      <c r="Q172" s="54"/>
      <c r="R172" s="54"/>
      <c r="S172" s="54"/>
      <c r="T172" s="54"/>
      <c r="U172" s="54"/>
      <c r="V172" s="54"/>
      <c r="W172" s="54"/>
    </row>
    <row r="173" spans="1:23" x14ac:dyDescent="0.2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407"/>
      <c r="N173" s="407"/>
      <c r="O173" s="407"/>
      <c r="P173" s="407"/>
      <c r="Q173" s="54"/>
      <c r="R173" s="54"/>
      <c r="S173" s="54"/>
      <c r="T173" s="54"/>
      <c r="U173" s="54"/>
      <c r="V173" s="54"/>
      <c r="W173" s="54"/>
    </row>
    <row r="174" spans="1:23" x14ac:dyDescent="0.2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407"/>
      <c r="N174" s="407"/>
      <c r="O174" s="407"/>
      <c r="P174" s="407"/>
      <c r="Q174" s="54"/>
      <c r="R174" s="54"/>
      <c r="S174" s="54"/>
      <c r="T174" s="54"/>
      <c r="U174" s="54"/>
      <c r="V174" s="54"/>
      <c r="W174" s="54"/>
    </row>
    <row r="175" spans="1:23" x14ac:dyDescent="0.2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407"/>
      <c r="N175" s="407"/>
      <c r="O175" s="407"/>
      <c r="P175" s="407"/>
      <c r="Q175" s="54"/>
      <c r="R175" s="54"/>
      <c r="S175" s="54"/>
      <c r="T175" s="54"/>
      <c r="U175" s="54"/>
      <c r="V175" s="54"/>
      <c r="W175" s="54"/>
    </row>
    <row r="176" spans="1:23" x14ac:dyDescent="0.2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407"/>
      <c r="N176" s="407"/>
      <c r="O176" s="407"/>
      <c r="P176" s="407"/>
      <c r="Q176" s="54"/>
      <c r="R176" s="54"/>
      <c r="S176" s="54"/>
      <c r="T176" s="54"/>
      <c r="U176" s="54"/>
      <c r="V176" s="54"/>
      <c r="W176" s="54"/>
    </row>
    <row r="177" spans="1:23" x14ac:dyDescent="0.2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407"/>
      <c r="N177" s="407"/>
      <c r="O177" s="407"/>
      <c r="P177" s="407"/>
      <c r="Q177" s="54"/>
      <c r="R177" s="54"/>
      <c r="S177" s="54"/>
      <c r="T177" s="54"/>
      <c r="U177" s="54"/>
      <c r="V177" s="54"/>
      <c r="W177" s="54"/>
    </row>
    <row r="178" spans="1:23" x14ac:dyDescent="0.2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407"/>
      <c r="N178" s="407"/>
      <c r="O178" s="407"/>
      <c r="P178" s="407"/>
      <c r="Q178" s="54"/>
      <c r="R178" s="54"/>
      <c r="S178" s="54"/>
      <c r="T178" s="54"/>
      <c r="U178" s="54"/>
      <c r="V178" s="54"/>
      <c r="W178" s="54"/>
    </row>
    <row r="179" spans="1:23" x14ac:dyDescent="0.2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407"/>
      <c r="N179" s="407"/>
      <c r="O179" s="407"/>
      <c r="P179" s="407"/>
      <c r="Q179" s="54"/>
      <c r="R179" s="54"/>
      <c r="S179" s="54"/>
      <c r="T179" s="54"/>
      <c r="U179" s="54"/>
      <c r="V179" s="54"/>
      <c r="W179" s="54"/>
    </row>
    <row r="180" spans="1:23" x14ac:dyDescent="0.2">
      <c r="A180" s="407"/>
      <c r="B180" s="407"/>
      <c r="C180" s="407"/>
      <c r="D180" s="407"/>
      <c r="E180" s="407"/>
      <c r="F180" s="407"/>
      <c r="G180" s="54"/>
      <c r="H180" s="407"/>
      <c r="I180" s="407"/>
      <c r="J180" s="407"/>
      <c r="K180" s="407"/>
      <c r="L180" s="407"/>
      <c r="M180" s="407"/>
      <c r="N180" s="407"/>
      <c r="O180" s="407"/>
      <c r="P180" s="407"/>
      <c r="Q180" s="54"/>
      <c r="R180" s="54"/>
      <c r="S180" s="54"/>
      <c r="T180" s="54"/>
      <c r="U180" s="54"/>
      <c r="V180" s="54"/>
      <c r="W180" s="54"/>
    </row>
    <row r="181" spans="1:23" x14ac:dyDescent="0.2">
      <c r="A181" s="407"/>
      <c r="B181" s="407"/>
      <c r="C181" s="407"/>
      <c r="D181" s="407"/>
      <c r="E181" s="407"/>
      <c r="F181" s="407"/>
      <c r="G181" s="407"/>
      <c r="H181" s="407"/>
      <c r="I181" s="407"/>
      <c r="J181" s="407"/>
      <c r="K181" s="407"/>
      <c r="L181" s="407"/>
      <c r="M181" s="407"/>
      <c r="N181" s="407"/>
      <c r="O181" s="407"/>
      <c r="P181" s="407"/>
      <c r="Q181" s="54"/>
      <c r="R181" s="54"/>
      <c r="S181" s="54"/>
      <c r="T181" s="54"/>
      <c r="U181" s="54"/>
      <c r="V181" s="54"/>
      <c r="W181" s="54"/>
    </row>
    <row r="182" spans="1:23" x14ac:dyDescent="0.2">
      <c r="A182" s="407"/>
      <c r="B182" s="54"/>
      <c r="C182" s="54"/>
      <c r="D182" s="54"/>
      <c r="E182" s="54"/>
      <c r="F182" s="54"/>
      <c r="G182" s="407"/>
      <c r="H182" s="54"/>
      <c r="I182" s="54"/>
      <c r="J182" s="54"/>
      <c r="K182" s="54"/>
      <c r="L182" s="54"/>
      <c r="M182" s="54"/>
      <c r="N182" s="407"/>
      <c r="O182" s="407"/>
      <c r="P182" s="407"/>
      <c r="Q182" s="54"/>
      <c r="R182" s="54"/>
      <c r="S182" s="54"/>
      <c r="T182" s="54"/>
      <c r="U182" s="54"/>
      <c r="V182" s="54"/>
      <c r="W182" s="54"/>
    </row>
    <row r="183" spans="1:23" x14ac:dyDescent="0.2">
      <c r="A183" s="407"/>
      <c r="B183" s="54"/>
      <c r="C183" s="54"/>
      <c r="D183" s="54"/>
      <c r="E183" s="54"/>
      <c r="F183" s="54"/>
      <c r="G183" s="407"/>
      <c r="H183" s="54"/>
      <c r="I183" s="54"/>
      <c r="J183" s="54"/>
      <c r="K183" s="54"/>
      <c r="L183" s="54"/>
      <c r="M183" s="54"/>
      <c r="N183" s="407"/>
      <c r="O183" s="407"/>
      <c r="P183" s="407"/>
      <c r="Q183" s="54"/>
      <c r="R183" s="54"/>
      <c r="S183" s="54"/>
      <c r="T183" s="54"/>
      <c r="U183" s="54"/>
      <c r="V183" s="54"/>
      <c r="W183" s="54"/>
    </row>
    <row r="184" spans="1:23" x14ac:dyDescent="0.2">
      <c r="A184" s="407"/>
      <c r="B184" s="54"/>
      <c r="C184" s="54"/>
      <c r="D184" s="54"/>
      <c r="E184" s="54"/>
      <c r="F184" s="54"/>
      <c r="G184" s="407"/>
      <c r="H184" s="54"/>
      <c r="I184" s="54"/>
      <c r="J184" s="54"/>
      <c r="K184" s="54"/>
      <c r="L184" s="54"/>
      <c r="M184" s="54"/>
      <c r="N184" s="407"/>
      <c r="O184" s="407"/>
      <c r="P184" s="407"/>
      <c r="Q184" s="54"/>
      <c r="R184" s="54"/>
      <c r="S184" s="54"/>
      <c r="T184" s="54"/>
      <c r="U184" s="54"/>
      <c r="V184" s="54"/>
      <c r="W184" s="54"/>
    </row>
    <row r="185" spans="1:23" x14ac:dyDescent="0.2">
      <c r="A185" s="407"/>
      <c r="B185" s="54"/>
      <c r="C185" s="54"/>
      <c r="D185" s="54"/>
      <c r="E185" s="54"/>
      <c r="F185" s="54"/>
      <c r="G185" s="407"/>
      <c r="H185" s="54"/>
      <c r="I185" s="54"/>
      <c r="J185" s="54"/>
      <c r="K185" s="54"/>
      <c r="L185" s="54"/>
      <c r="M185" s="54"/>
      <c r="N185" s="407"/>
      <c r="O185" s="407"/>
      <c r="P185" s="407"/>
      <c r="Q185" s="54"/>
      <c r="R185" s="54"/>
      <c r="S185" s="54"/>
      <c r="T185" s="54"/>
      <c r="U185" s="54"/>
      <c r="V185" s="54"/>
      <c r="W185" s="54"/>
    </row>
    <row r="186" spans="1:23" x14ac:dyDescent="0.2">
      <c r="A186" s="407"/>
      <c r="B186" s="54" t="s">
        <v>336</v>
      </c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407"/>
      <c r="O186" s="407"/>
      <c r="P186" s="407"/>
      <c r="Q186" s="54"/>
      <c r="R186" s="54"/>
      <c r="S186" s="54"/>
      <c r="T186" s="54"/>
      <c r="U186" s="54"/>
      <c r="V186" s="54"/>
      <c r="W186" s="54"/>
    </row>
    <row r="187" spans="1:23" x14ac:dyDescent="0.2">
      <c r="A187" s="407"/>
      <c r="B187" s="54"/>
      <c r="C187" s="54"/>
      <c r="D187" s="54"/>
      <c r="E187" s="54"/>
      <c r="F187" s="407"/>
      <c r="G187" s="54"/>
      <c r="H187" s="54"/>
      <c r="I187" s="54"/>
      <c r="J187" s="407"/>
      <c r="K187" s="407"/>
      <c r="L187" s="407"/>
      <c r="M187" s="407"/>
      <c r="N187" s="407"/>
      <c r="O187" s="407"/>
      <c r="P187" s="407"/>
      <c r="Q187" s="54"/>
      <c r="R187" s="54"/>
      <c r="S187" s="54"/>
      <c r="T187" s="54"/>
      <c r="U187" s="54"/>
      <c r="V187" s="54"/>
      <c r="W187" s="54"/>
    </row>
    <row r="188" spans="1:23" x14ac:dyDescent="0.2">
      <c r="A188" s="407">
        <v>0</v>
      </c>
      <c r="B188" s="407">
        <v>0</v>
      </c>
      <c r="C188" s="407">
        <v>0</v>
      </c>
      <c r="D188" s="407">
        <v>0</v>
      </c>
      <c r="E188" s="407">
        <v>0</v>
      </c>
      <c r="F188" s="407"/>
      <c r="G188" s="54"/>
      <c r="H188" s="54">
        <v>300</v>
      </c>
      <c r="I188" s="54">
        <v>1.3879999999999999</v>
      </c>
      <c r="J188" s="407">
        <v>1.67</v>
      </c>
      <c r="K188" s="407">
        <v>1.57</v>
      </c>
      <c r="L188" s="407"/>
      <c r="M188" s="407"/>
      <c r="N188" s="407"/>
      <c r="O188" s="407"/>
      <c r="P188" s="407"/>
      <c r="Q188" s="54"/>
      <c r="R188" s="54"/>
      <c r="S188" s="54"/>
      <c r="T188" s="54"/>
      <c r="U188" s="54"/>
      <c r="V188" s="54"/>
      <c r="W188" s="54"/>
    </row>
    <row r="189" spans="1:23" x14ac:dyDescent="0.2">
      <c r="A189" s="54">
        <v>120</v>
      </c>
      <c r="B189" s="54">
        <v>2</v>
      </c>
      <c r="D189" s="407">
        <v>6.5956729354635701</v>
      </c>
      <c r="E189" s="17">
        <v>17.8601482318082</v>
      </c>
      <c r="F189" s="407"/>
      <c r="G189" s="54"/>
      <c r="H189" s="54">
        <v>320</v>
      </c>
      <c r="I189" s="54">
        <v>1.389</v>
      </c>
      <c r="J189" s="407">
        <v>1673</v>
      </c>
      <c r="K189" s="407">
        <v>1672.9</v>
      </c>
      <c r="L189" s="407"/>
      <c r="M189" s="407"/>
      <c r="N189" s="407"/>
      <c r="O189" s="407"/>
      <c r="P189" s="407"/>
      <c r="Q189" s="54"/>
      <c r="R189" s="54"/>
      <c r="S189" s="54"/>
      <c r="T189" s="54"/>
      <c r="U189" s="54"/>
      <c r="V189" s="54"/>
      <c r="W189" s="54"/>
    </row>
    <row r="190" spans="1:23" x14ac:dyDescent="0.2">
      <c r="A190" s="54">
        <v>300</v>
      </c>
      <c r="B190" s="54">
        <v>5</v>
      </c>
      <c r="D190" s="407">
        <v>9.7599822581302096</v>
      </c>
      <c r="E190" s="17">
        <v>27.755512734507398</v>
      </c>
      <c r="F190" s="407"/>
      <c r="G190" s="54"/>
      <c r="H190" s="54">
        <v>350</v>
      </c>
      <c r="I190" s="54">
        <v>1.391</v>
      </c>
      <c r="J190" s="407">
        <v>1.68</v>
      </c>
      <c r="K190" s="407">
        <v>1.58</v>
      </c>
      <c r="L190" s="407"/>
      <c r="M190" s="407"/>
      <c r="N190" s="407"/>
      <c r="O190" s="407"/>
      <c r="P190" s="407"/>
      <c r="Q190" s="54"/>
      <c r="R190" s="54"/>
      <c r="S190" s="54"/>
      <c r="T190" s="54"/>
      <c r="U190" s="54"/>
      <c r="V190" s="54"/>
      <c r="W190" s="54"/>
    </row>
    <row r="191" spans="1:23" x14ac:dyDescent="0.2">
      <c r="A191" s="54">
        <v>600</v>
      </c>
      <c r="B191" s="54">
        <v>10</v>
      </c>
      <c r="D191" s="407">
        <v>13.472731993104899</v>
      </c>
      <c r="E191" s="17">
        <v>39.021461714174698</v>
      </c>
      <c r="F191" s="407"/>
      <c r="G191" s="407"/>
      <c r="H191" s="407">
        <v>400</v>
      </c>
      <c r="I191" s="407">
        <v>1.393</v>
      </c>
      <c r="J191" s="407">
        <v>1.69</v>
      </c>
      <c r="K191" s="407">
        <v>1.59</v>
      </c>
      <c r="L191" s="407"/>
      <c r="M191" s="407"/>
      <c r="N191" s="407"/>
      <c r="O191" s="407"/>
      <c r="P191" s="407"/>
      <c r="Q191" s="54"/>
      <c r="R191" s="54"/>
      <c r="S191" s="54"/>
      <c r="T191" s="54"/>
      <c r="U191" s="54"/>
      <c r="V191" s="54"/>
      <c r="W191" s="54"/>
    </row>
    <row r="192" spans="1:23" x14ac:dyDescent="0.2">
      <c r="A192" s="54">
        <v>900</v>
      </c>
      <c r="B192" s="54">
        <v>15</v>
      </c>
      <c r="D192" s="407">
        <v>16.3637331021087</v>
      </c>
      <c r="E192" s="17">
        <v>47.696755250920397</v>
      </c>
      <c r="F192" s="407"/>
      <c r="G192" s="407"/>
      <c r="H192" s="407">
        <v>450</v>
      </c>
      <c r="I192" s="407">
        <v>1.4</v>
      </c>
      <c r="J192" s="407">
        <v>1.702</v>
      </c>
      <c r="K192" s="407">
        <v>1.6020000000000001</v>
      </c>
      <c r="L192" s="407"/>
      <c r="M192" s="407"/>
      <c r="N192" s="407"/>
      <c r="O192" s="407"/>
      <c r="P192" s="407"/>
      <c r="Q192" s="54"/>
      <c r="R192" s="54"/>
      <c r="S192" s="54"/>
      <c r="T192" s="54"/>
      <c r="U192" s="54"/>
      <c r="V192" s="54"/>
      <c r="W192" s="54"/>
    </row>
    <row r="193" spans="1:23" x14ac:dyDescent="0.2">
      <c r="A193" s="54">
        <v>1200</v>
      </c>
      <c r="B193" s="54">
        <v>20</v>
      </c>
      <c r="D193" s="407">
        <v>18.815658763807999</v>
      </c>
      <c r="E193" s="17">
        <v>55.020781970284702</v>
      </c>
      <c r="F193" s="407"/>
      <c r="G193" s="407"/>
      <c r="H193" s="407">
        <v>500</v>
      </c>
      <c r="I193" s="407">
        <v>1.403</v>
      </c>
      <c r="J193" s="407">
        <v>1.7150000000000001</v>
      </c>
      <c r="K193" s="407">
        <v>1.615</v>
      </c>
      <c r="L193" s="407"/>
      <c r="M193" s="407"/>
      <c r="N193" s="407"/>
      <c r="O193" s="407"/>
      <c r="P193" s="407"/>
      <c r="Q193" s="54"/>
      <c r="R193" s="54"/>
      <c r="S193" s="54"/>
      <c r="T193" s="54"/>
      <c r="U193" s="54"/>
      <c r="V193" s="54"/>
      <c r="W193" s="54"/>
    </row>
    <row r="194" spans="1:23" x14ac:dyDescent="0.2">
      <c r="A194" s="54">
        <v>1500</v>
      </c>
      <c r="B194" s="54">
        <v>25</v>
      </c>
      <c r="D194" s="407">
        <v>20.9829995090093</v>
      </c>
      <c r="E194" s="17">
        <v>61.478389990117698</v>
      </c>
      <c r="F194" s="407"/>
      <c r="G194" s="407"/>
      <c r="H194" s="54">
        <v>550</v>
      </c>
      <c r="I194" s="54">
        <v>1.44</v>
      </c>
      <c r="J194" s="54">
        <v>1.756</v>
      </c>
      <c r="K194" s="407">
        <v>1.6559999999999999</v>
      </c>
      <c r="L194" s="407"/>
      <c r="M194" s="407"/>
      <c r="N194" s="407"/>
      <c r="O194" s="407"/>
      <c r="P194" s="407"/>
      <c r="Q194" s="54"/>
      <c r="R194" s="54"/>
      <c r="S194" s="54"/>
      <c r="T194" s="54"/>
      <c r="U194" s="54"/>
      <c r="V194" s="54"/>
      <c r="W194" s="54"/>
    </row>
    <row r="195" spans="1:23" x14ac:dyDescent="0.2">
      <c r="A195" s="54">
        <v>1800</v>
      </c>
      <c r="B195" s="54">
        <v>30</v>
      </c>
      <c r="D195" s="407">
        <v>22.946536167232299</v>
      </c>
      <c r="E195" s="17">
        <v>67.319376281516497</v>
      </c>
      <c r="F195" s="407"/>
      <c r="G195" s="407"/>
      <c r="H195" s="407">
        <v>600</v>
      </c>
      <c r="I195" s="407">
        <v>1.4530000000000001</v>
      </c>
      <c r="J195" s="407">
        <v>1.82</v>
      </c>
      <c r="K195" s="407">
        <v>1.72</v>
      </c>
      <c r="L195" s="407"/>
      <c r="M195" s="407"/>
      <c r="N195" s="407"/>
      <c r="O195" s="407"/>
      <c r="P195" s="407"/>
      <c r="Q195" s="54"/>
      <c r="R195" s="54"/>
      <c r="S195" s="54"/>
      <c r="T195" s="54"/>
      <c r="U195" s="54"/>
      <c r="V195" s="54"/>
      <c r="W195" s="54"/>
    </row>
    <row r="196" spans="1:23" x14ac:dyDescent="0.2">
      <c r="A196" s="54">
        <v>2400</v>
      </c>
      <c r="B196" s="407">
        <v>40</v>
      </c>
      <c r="D196" s="407">
        <v>26.4397055473795</v>
      </c>
      <c r="E196" s="17">
        <v>77.694983089278097</v>
      </c>
      <c r="F196" s="407"/>
      <c r="G196" s="407"/>
      <c r="H196" s="407">
        <v>700</v>
      </c>
      <c r="I196" s="407">
        <v>1.4830000000000001</v>
      </c>
      <c r="J196" s="407">
        <v>1.86</v>
      </c>
      <c r="K196" s="407">
        <v>1.76</v>
      </c>
      <c r="L196" s="407"/>
      <c r="M196" s="407"/>
      <c r="N196" s="407"/>
      <c r="O196" s="407"/>
      <c r="P196" s="407"/>
      <c r="Q196" s="54"/>
      <c r="R196" s="54"/>
      <c r="S196" s="54"/>
      <c r="T196" s="54"/>
      <c r="U196" s="54"/>
      <c r="V196" s="54"/>
      <c r="W196" s="54"/>
    </row>
    <row r="197" spans="1:23" x14ac:dyDescent="0.2">
      <c r="A197" s="407"/>
      <c r="B197" s="407"/>
      <c r="C197" s="407"/>
      <c r="D197" s="407"/>
      <c r="E197" s="407"/>
      <c r="F197" s="407"/>
      <c r="G197" s="407"/>
      <c r="H197" s="407"/>
      <c r="I197" s="407"/>
      <c r="J197" s="407"/>
      <c r="K197" s="407"/>
      <c r="L197" s="407"/>
      <c r="M197" s="407"/>
      <c r="N197" s="407"/>
      <c r="O197" s="407"/>
      <c r="P197" s="407"/>
      <c r="Q197" s="54"/>
      <c r="R197" s="54"/>
      <c r="S197" s="54"/>
      <c r="T197" s="54"/>
      <c r="U197" s="54"/>
      <c r="V197" s="54"/>
      <c r="W197" s="54"/>
    </row>
    <row r="198" spans="1:23" x14ac:dyDescent="0.2">
      <c r="A198" s="407"/>
      <c r="B198" s="407"/>
      <c r="C198" s="407"/>
      <c r="D198" s="407"/>
      <c r="E198" s="407"/>
      <c r="F198" s="407"/>
      <c r="G198" s="407"/>
      <c r="H198" s="407"/>
      <c r="I198" s="407"/>
      <c r="J198" s="407"/>
      <c r="K198" s="407"/>
      <c r="L198" s="407"/>
      <c r="M198" s="407"/>
      <c r="N198" s="407"/>
      <c r="O198" s="407"/>
      <c r="P198" s="407"/>
      <c r="Q198" s="54"/>
      <c r="R198" s="54"/>
      <c r="S198" s="54"/>
      <c r="T198" s="54"/>
      <c r="U198" s="54"/>
      <c r="V198" s="54"/>
      <c r="W198" s="54"/>
    </row>
    <row r="199" spans="1:23" x14ac:dyDescent="0.2">
      <c r="A199" s="407"/>
      <c r="B199" s="407"/>
      <c r="C199" s="407"/>
      <c r="D199" s="407"/>
      <c r="E199" s="407"/>
      <c r="F199" s="407"/>
      <c r="G199" s="407"/>
      <c r="H199" s="407"/>
      <c r="I199" s="407"/>
      <c r="J199" s="407"/>
      <c r="K199" s="407"/>
      <c r="L199" s="407"/>
      <c r="M199" s="407"/>
      <c r="N199" s="407"/>
      <c r="O199" s="407"/>
      <c r="P199" s="407"/>
      <c r="Q199" s="54"/>
      <c r="R199" s="54"/>
      <c r="S199" s="54"/>
      <c r="T199" s="54"/>
      <c r="U199" s="54"/>
      <c r="V199" s="54"/>
      <c r="W199" s="54"/>
    </row>
    <row r="200" spans="1:23" x14ac:dyDescent="0.2">
      <c r="A200" s="407"/>
      <c r="B200" s="407"/>
      <c r="C200" s="407"/>
      <c r="D200" s="407"/>
      <c r="E200" s="407"/>
      <c r="F200" s="407"/>
      <c r="G200" s="407"/>
      <c r="H200" s="407"/>
      <c r="I200" s="407"/>
      <c r="J200" s="407"/>
      <c r="K200" s="407"/>
      <c r="L200" s="407"/>
      <c r="M200" s="407"/>
      <c r="N200" s="407"/>
      <c r="O200" s="407"/>
      <c r="P200" s="407"/>
      <c r="Q200" s="54"/>
      <c r="R200" s="54"/>
      <c r="S200" s="54"/>
      <c r="T200" s="54"/>
      <c r="U200" s="54"/>
      <c r="V200" s="54"/>
      <c r="W200" s="54"/>
    </row>
    <row r="201" spans="1:23" x14ac:dyDescent="0.2">
      <c r="A201" s="407"/>
      <c r="B201" s="407"/>
      <c r="C201" s="407"/>
      <c r="D201" s="407"/>
      <c r="E201" s="407"/>
      <c r="F201" s="407"/>
      <c r="G201" s="407"/>
      <c r="H201" s="407"/>
      <c r="I201" s="407"/>
      <c r="J201" s="407"/>
      <c r="K201" s="407"/>
      <c r="L201" s="407"/>
      <c r="M201" s="407"/>
      <c r="N201" s="407"/>
      <c r="O201" s="407"/>
      <c r="P201" s="407"/>
      <c r="Q201" s="54"/>
      <c r="R201" s="54"/>
      <c r="S201" s="54"/>
      <c r="T201" s="54"/>
      <c r="U201" s="54"/>
      <c r="V201" s="54"/>
      <c r="W201" s="54"/>
    </row>
    <row r="202" spans="1:23" x14ac:dyDescent="0.2">
      <c r="A202" s="407"/>
      <c r="B202" s="407"/>
      <c r="C202" s="407"/>
      <c r="D202" s="407"/>
      <c r="E202" s="407"/>
      <c r="F202" s="407"/>
      <c r="G202" s="407"/>
      <c r="H202" s="407"/>
      <c r="I202" s="407"/>
      <c r="J202" s="407"/>
      <c r="K202" s="407"/>
      <c r="L202" s="407"/>
      <c r="M202" s="407"/>
      <c r="N202" s="407"/>
      <c r="O202" s="407"/>
      <c r="P202" s="407"/>
      <c r="Q202" s="54"/>
      <c r="R202" s="54"/>
      <c r="S202" s="54"/>
      <c r="T202" s="54"/>
      <c r="U202" s="54"/>
      <c r="V202" s="54"/>
      <c r="W202" s="54"/>
    </row>
    <row r="203" spans="1:23" x14ac:dyDescent="0.2">
      <c r="A203" s="407"/>
      <c r="B203" s="407"/>
      <c r="C203" s="407"/>
      <c r="D203" s="407"/>
      <c r="E203" s="407"/>
      <c r="F203" s="407"/>
      <c r="G203" s="407"/>
      <c r="H203" s="407"/>
      <c r="I203" s="407"/>
      <c r="J203" s="407"/>
      <c r="K203" s="407"/>
      <c r="L203" s="407"/>
      <c r="M203" s="407"/>
      <c r="N203" s="407"/>
      <c r="O203" s="407"/>
      <c r="P203" s="407"/>
      <c r="Q203" s="54"/>
      <c r="R203" s="54"/>
      <c r="S203" s="54"/>
      <c r="T203" s="54"/>
      <c r="U203" s="54"/>
      <c r="V203" s="54"/>
      <c r="W203" s="54"/>
    </row>
    <row r="204" spans="1:23" x14ac:dyDescent="0.2">
      <c r="A204" s="407"/>
      <c r="B204" s="407"/>
      <c r="C204" s="407"/>
      <c r="D204" s="407"/>
      <c r="E204" s="407"/>
      <c r="F204" s="407"/>
      <c r="G204" s="407"/>
      <c r="H204" s="407"/>
      <c r="I204" s="407"/>
      <c r="J204" s="407"/>
      <c r="K204" s="407"/>
      <c r="L204" s="407"/>
      <c r="M204" s="407"/>
      <c r="N204" s="407"/>
      <c r="O204" s="407"/>
      <c r="P204" s="407"/>
      <c r="Q204" s="54"/>
      <c r="R204" s="54"/>
      <c r="S204" s="54"/>
      <c r="T204" s="54"/>
      <c r="U204" s="54"/>
      <c r="V204" s="54"/>
      <c r="W204" s="54"/>
    </row>
    <row r="205" spans="1:23" x14ac:dyDescent="0.2">
      <c r="A205" s="407"/>
      <c r="B205" s="407"/>
      <c r="C205" s="407"/>
      <c r="D205" s="407"/>
      <c r="E205" s="407"/>
      <c r="F205" s="407"/>
      <c r="G205" s="407"/>
      <c r="H205" s="407"/>
      <c r="I205" s="407"/>
      <c r="J205" s="407"/>
      <c r="K205" s="407"/>
      <c r="L205" s="407"/>
      <c r="M205" s="407"/>
      <c r="N205" s="407"/>
      <c r="O205" s="407"/>
      <c r="P205" s="407"/>
      <c r="Q205" s="54"/>
      <c r="R205" s="54"/>
      <c r="S205" s="54"/>
      <c r="T205" s="54"/>
      <c r="U205" s="54"/>
      <c r="V205" s="54"/>
      <c r="W205" s="54"/>
    </row>
    <row r="206" spans="1:23" x14ac:dyDescent="0.2">
      <c r="A206" s="407"/>
      <c r="B206" s="407"/>
      <c r="C206" s="407"/>
      <c r="D206" s="407"/>
      <c r="E206" s="407"/>
      <c r="F206" s="407"/>
      <c r="G206" s="407"/>
      <c r="H206" s="407"/>
      <c r="I206" s="407"/>
      <c r="J206" s="407"/>
      <c r="K206" s="407"/>
      <c r="L206" s="407"/>
      <c r="M206" s="407"/>
      <c r="N206" s="407"/>
      <c r="O206" s="407"/>
      <c r="P206" s="407"/>
      <c r="Q206" s="54"/>
      <c r="R206" s="54"/>
      <c r="S206" s="54"/>
      <c r="T206" s="54"/>
      <c r="U206" s="54"/>
      <c r="V206" s="54"/>
      <c r="W206" s="54"/>
    </row>
    <row r="207" spans="1:23" x14ac:dyDescent="0.2">
      <c r="A207" s="407"/>
      <c r="B207" s="407"/>
      <c r="C207" s="407"/>
      <c r="D207" s="407"/>
      <c r="E207" s="407"/>
      <c r="F207" s="407"/>
      <c r="G207" s="407"/>
      <c r="H207" s="407"/>
      <c r="I207" s="407"/>
      <c r="J207" s="407"/>
      <c r="K207" s="407"/>
      <c r="L207" s="407"/>
      <c r="M207" s="407"/>
      <c r="N207" s="407"/>
      <c r="O207" s="407"/>
      <c r="P207" s="407"/>
      <c r="Q207" s="54"/>
      <c r="R207" s="54"/>
      <c r="S207" s="54"/>
      <c r="T207" s="54"/>
      <c r="U207" s="54"/>
      <c r="V207" s="54"/>
      <c r="W207" s="54"/>
    </row>
    <row r="208" spans="1:23" x14ac:dyDescent="0.2">
      <c r="A208" s="407"/>
      <c r="B208" s="407"/>
      <c r="C208" s="407"/>
      <c r="D208" s="407"/>
      <c r="E208" s="407"/>
      <c r="F208" s="407"/>
      <c r="G208" s="407"/>
      <c r="H208" s="407"/>
      <c r="I208" s="407"/>
      <c r="J208" s="407"/>
      <c r="K208" s="407"/>
      <c r="L208" s="407"/>
      <c r="M208" s="407"/>
      <c r="N208" s="407"/>
      <c r="O208" s="407"/>
      <c r="P208" s="407"/>
      <c r="Q208" s="54"/>
      <c r="R208" s="54"/>
      <c r="S208" s="54"/>
      <c r="T208" s="54"/>
      <c r="U208" s="54"/>
      <c r="V208" s="54"/>
      <c r="W208" s="54"/>
    </row>
    <row r="209" spans="1:23" x14ac:dyDescent="0.2">
      <c r="A209" s="407"/>
      <c r="B209" s="407"/>
      <c r="C209" s="407"/>
      <c r="D209" s="407"/>
      <c r="E209" s="407"/>
      <c r="F209" s="407"/>
      <c r="G209" s="407"/>
      <c r="H209" s="407"/>
      <c r="I209" s="407"/>
      <c r="J209" s="407"/>
      <c r="K209" s="407"/>
      <c r="L209" s="407"/>
      <c r="M209" s="407"/>
      <c r="N209" s="407"/>
      <c r="O209" s="407"/>
      <c r="P209" s="407"/>
      <c r="Q209" s="54"/>
      <c r="R209" s="54"/>
      <c r="S209" s="54"/>
      <c r="T209" s="54"/>
      <c r="U209" s="54"/>
      <c r="V209" s="54"/>
      <c r="W209" s="54"/>
    </row>
    <row r="210" spans="1:23" x14ac:dyDescent="0.2">
      <c r="A210" s="407"/>
      <c r="B210" s="407"/>
      <c r="C210" s="407"/>
      <c r="D210" s="407"/>
      <c r="E210" s="407"/>
      <c r="F210" s="407"/>
      <c r="G210" s="407"/>
      <c r="H210" s="407"/>
      <c r="I210" s="407"/>
      <c r="J210" s="407"/>
      <c r="K210" s="407"/>
      <c r="L210" s="407"/>
      <c r="M210" s="407"/>
      <c r="N210" s="407"/>
      <c r="O210" s="407"/>
      <c r="P210" s="407"/>
      <c r="Q210" s="54"/>
      <c r="R210" s="54"/>
      <c r="S210" s="54"/>
      <c r="T210" s="54"/>
      <c r="U210" s="54"/>
      <c r="V210" s="54"/>
      <c r="W210" s="54"/>
    </row>
    <row r="211" spans="1:23" x14ac:dyDescent="0.2">
      <c r="A211" s="407"/>
      <c r="B211" s="407"/>
      <c r="C211" s="407"/>
      <c r="D211" s="407"/>
      <c r="E211" s="407"/>
      <c r="F211" s="407"/>
      <c r="G211" s="407"/>
      <c r="H211" s="407"/>
      <c r="I211" s="407"/>
      <c r="J211" s="407"/>
      <c r="K211" s="407"/>
      <c r="L211" s="407"/>
      <c r="M211" s="407"/>
      <c r="N211" s="407"/>
      <c r="O211" s="407"/>
      <c r="P211" s="407"/>
      <c r="Q211" s="54"/>
      <c r="R211" s="54"/>
      <c r="S211" s="54"/>
      <c r="T211" s="54"/>
      <c r="U211" s="54"/>
      <c r="V211" s="54"/>
      <c r="W211" s="54"/>
    </row>
    <row r="212" spans="1:23" x14ac:dyDescent="0.2">
      <c r="A212" s="407"/>
      <c r="B212" s="407"/>
      <c r="C212" s="407"/>
      <c r="D212" s="407"/>
      <c r="E212" s="407"/>
      <c r="F212" s="407"/>
      <c r="G212" s="407"/>
      <c r="H212" s="407"/>
      <c r="I212" s="407"/>
      <c r="J212" s="407"/>
      <c r="K212" s="407"/>
      <c r="L212" s="407"/>
      <c r="M212" s="407"/>
      <c r="N212" s="407"/>
      <c r="O212" s="407"/>
      <c r="P212" s="407"/>
      <c r="Q212" s="54"/>
      <c r="R212" s="54"/>
      <c r="S212" s="54"/>
      <c r="T212" s="54"/>
      <c r="U212" s="54"/>
      <c r="V212" s="54"/>
      <c r="W212" s="54"/>
    </row>
    <row r="213" spans="1:23" x14ac:dyDescent="0.2">
      <c r="A213" s="407"/>
      <c r="B213" s="407"/>
      <c r="C213" s="407"/>
      <c r="D213" s="407"/>
      <c r="E213" s="407"/>
      <c r="F213" s="407"/>
      <c r="G213" s="407"/>
      <c r="H213" s="407"/>
      <c r="I213" s="407"/>
      <c r="J213" s="407"/>
      <c r="K213" s="407"/>
      <c r="L213" s="407"/>
      <c r="M213" s="407"/>
      <c r="N213" s="407"/>
      <c r="O213" s="407"/>
      <c r="P213" s="407"/>
      <c r="Q213" s="54"/>
      <c r="R213" s="54"/>
      <c r="S213" s="54"/>
      <c r="T213" s="54"/>
      <c r="U213" s="54"/>
      <c r="V213" s="54"/>
      <c r="W213" s="54"/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8" r:id="rId3" name="Button 117">
              <controlPr defaultSize="0" autoPict="0" macro="Module6.Macro40">
                <anchor moveWithCells="1" sizeWithCells="1">
                  <from>
                    <xdr:col>7</xdr:col>
                    <xdr:colOff>428625</xdr:colOff>
                    <xdr:row>56</xdr:row>
                    <xdr:rowOff>142875</xdr:rowOff>
                  </from>
                  <to>
                    <xdr:col>8</xdr:col>
                    <xdr:colOff>304800</xdr:colOff>
                    <xdr:row>57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7" r:id="rId4" name="Button 118">
              <controlPr defaultSize="0" autoPict="0" macro="Module6.Macro39">
                <anchor moveWithCells="1" sizeWithCells="1">
                  <from>
                    <xdr:col>8</xdr:col>
                    <xdr:colOff>57150</xdr:colOff>
                    <xdr:row>54</xdr:row>
                    <xdr:rowOff>123825</xdr:rowOff>
                  </from>
                  <to>
                    <xdr:col>9</xdr:col>
                    <xdr:colOff>66675</xdr:colOff>
                    <xdr:row>55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Button 117">
              <controlPr defaultSize="0" print="0" autoFill="0" autoPict="0" macro="Module6.Macro40" altText="Button 117">
                <anchor moveWithCells="1">
                  <from>
                    <xdr:col>7</xdr:col>
                    <xdr:colOff>428625</xdr:colOff>
                    <xdr:row>56</xdr:row>
                    <xdr:rowOff>142875</xdr:rowOff>
                  </from>
                  <to>
                    <xdr:col>8</xdr:col>
                    <xdr:colOff>304800</xdr:colOff>
                    <xdr:row>57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Button 118">
              <controlPr defaultSize="0" print="0" autoFill="0" autoPict="0" macro="Module6.Macro39" altText="Button 118">
                <anchor moveWithCells="1">
                  <from>
                    <xdr:col>8</xdr:col>
                    <xdr:colOff>57150</xdr:colOff>
                    <xdr:row>54</xdr:row>
                    <xdr:rowOff>123825</xdr:rowOff>
                  </from>
                  <to>
                    <xdr:col>9</xdr:col>
                    <xdr:colOff>-66675</xdr:colOff>
                    <xdr:row>55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99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Home</vt:lpstr>
      <vt:lpstr>Graphs Sheet 1</vt:lpstr>
      <vt:lpstr>Graphs Sheet 2</vt:lpstr>
      <vt:lpstr>Geometry Rheology 1</vt:lpstr>
      <vt:lpstr>Geometry Rheology 2</vt:lpstr>
      <vt:lpstr>Geometry Rheology 3</vt:lpstr>
      <vt:lpstr>Water-Based Mud 1</vt:lpstr>
      <vt:lpstr>Water-Based Mud 2</vt:lpstr>
      <vt:lpstr>Oil-Based Mud 1</vt:lpstr>
      <vt:lpstr>Oil-Based Mud 2</vt:lpstr>
      <vt:lpstr>Oil-Based Mud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George Bray (lib)</cp:lastModifiedBy>
  <cp:revision>9</cp:revision>
  <dcterms:created xsi:type="dcterms:W3CDTF">2025-04-25T13:20:26Z</dcterms:created>
  <dcterms:modified xsi:type="dcterms:W3CDTF">2025-05-08T08:57:46Z</dcterms:modified>
  <dc:language>en-GB</dc:language>
</cp:coreProperties>
</file>